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Ex1.xml" ContentType="application/vnd.ms-office.chartex+xml"/>
  <Override PartName="/xl/charts/style2.xml" ContentType="application/vnd.ms-office.chartstyle+xml"/>
  <Override PartName="/xl/charts/colors2.xml" ContentType="application/vnd.ms-office.chartcolorstyle+xml"/>
  <Override PartName="/xl/charts/chartEx2.xml" ContentType="application/vnd.ms-office.chartex+xml"/>
  <Override PartName="/xl/charts/style3.xml" ContentType="application/vnd.ms-office.chartstyle+xml"/>
  <Override PartName="/xl/charts/colors3.xml" ContentType="application/vnd.ms-office.chartcolorstyle+xml"/>
  <Override PartName="/xl/charts/chart2.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5.xml" ContentType="application/vnd.ms-office.chartstyle+xml"/>
  <Override PartName="/xl/charts/colors5.xml" ContentType="application/vnd.ms-office.chartcolorstyle+xml"/>
  <Override PartName="/xl/charts/chart4.xml" ContentType="application/vnd.openxmlformats-officedocument.drawingml.chart+xml"/>
  <Override PartName="/xl/charts/style6.xml" ContentType="application/vnd.ms-office.chartstyle+xml"/>
  <Override PartName="/xl/charts/colors6.xml" ContentType="application/vnd.ms-office.chartcolorstyle+xml"/>
  <Override PartName="/xl/charts/chart5.xml" ContentType="application/vnd.openxmlformats-officedocument.drawingml.chart+xml"/>
  <Override PartName="/xl/charts/style7.xml" ContentType="application/vnd.ms-office.chartstyle+xml"/>
  <Override PartName="/xl/charts/colors7.xml" ContentType="application/vnd.ms-office.chartcolorstyle+xml"/>
  <Override PartName="/xl/charts/chart6.xml" ContentType="application/vnd.openxmlformats-officedocument.drawingml.chart+xml"/>
  <Override PartName="/xl/charts/style8.xml" ContentType="application/vnd.ms-office.chartstyle+xml"/>
  <Override PartName="/xl/charts/colors8.xml" ContentType="application/vnd.ms-office.chartcolorstyle+xml"/>
  <Override PartName="/xl/charts/chart7.xml" ContentType="application/vnd.openxmlformats-officedocument.drawingml.chart+xml"/>
  <Override PartName="/xl/charts/style9.xml" ContentType="application/vnd.ms-office.chartstyle+xml"/>
  <Override PartName="/xl/charts/colors9.xml" ContentType="application/vnd.ms-office.chartcolorstyle+xml"/>
  <Override PartName="/xl/charts/chart8.xml" ContentType="application/vnd.openxmlformats-officedocument.drawingml.chart+xml"/>
  <Override PartName="/xl/charts/style10.xml" ContentType="application/vnd.ms-office.chartstyle+xml"/>
  <Override PartName="/xl/charts/colors10.xml" ContentType="application/vnd.ms-office.chartcolorstyle+xml"/>
  <Override PartName="/xl/charts/chart9.xml" ContentType="application/vnd.openxmlformats-officedocument.drawingml.chart+xml"/>
  <Override PartName="/xl/charts/style11.xml" ContentType="application/vnd.ms-office.chartstyle+xml"/>
  <Override PartName="/xl/charts/colors1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hidePivotFieldList="1" defaultThemeVersion="166925"/>
  <mc:AlternateContent xmlns:mc="http://schemas.openxmlformats.org/markup-compatibility/2006">
    <mc:Choice Requires="x15">
      <x15ac:absPath xmlns:x15ac="http://schemas.microsoft.com/office/spreadsheetml/2010/11/ac" url="/Volumes/Data/Sync/5 INT-GIZ/4 Publications/GIZ 2022 • Benchmark prices for solar PV compontents and systems for Nepal/"/>
    </mc:Choice>
  </mc:AlternateContent>
  <xr:revisionPtr revIDLastSave="0" documentId="13_ncr:1_{DD8035BB-5074-954C-AFAC-A994822D8B9D}" xr6:coauthVersionLast="47" xr6:coauthVersionMax="47" xr10:uidLastSave="{00000000-0000-0000-0000-000000000000}"/>
  <bookViews>
    <workbookView xWindow="10800" yWindow="5420" windowWidth="34360" windowHeight="24420" xr2:uid="{00000000-000D-0000-FFFF-FFFF00000000}"/>
  </bookViews>
  <sheets>
    <sheet name="Intro" sheetId="12" r:id="rId1"/>
    <sheet name="Price Data" sheetId="11" r:id="rId2"/>
    <sheet name="Calculations &amp; Assumptions" sheetId="2" r:id="rId3"/>
    <sheet name="Results" sheetId="9" r:id="rId4"/>
    <sheet name="System Configurations" sheetId="5" state="hidden" r:id="rId5"/>
    <sheet name="Systems" sheetId="1" r:id="rId6"/>
    <sheet name="Sheet1" sheetId="4" state="hidden" r:id="rId7"/>
    <sheet name="Lists" sheetId="8" state="hidden" r:id="rId8"/>
  </sheets>
  <externalReferences>
    <externalReference r:id="rId9"/>
    <externalReference r:id="rId10"/>
  </externalReferences>
  <definedNames>
    <definedName name="_xlnm._FilterDatabase" localSheetId="6" hidden="1">Sheet1!$J$6:$L$6</definedName>
    <definedName name="_xlchart.v1.0" hidden="1">('Calculations &amp; Assumptions'!$B$74:$B$81,'Calculations &amp; Assumptions'!$B$83:$B$86)</definedName>
    <definedName name="_xlchart.v1.1" hidden="1">('Calculations &amp; Assumptions'!$G$74:$G$81,'Calculations &amp; Assumptions'!$G$83:$G$86)</definedName>
    <definedName name="_xlchart.v1.2" hidden="1">('Calculations &amp; Assumptions'!$B$95:$B$102,'Calculations &amp; Assumptions'!$B$104:$B$107)</definedName>
    <definedName name="_xlchart.v1.3" hidden="1">('Calculations &amp; Assumptions'!$G$95:$G$102,'Calculations &amp; Assumptions'!$G$104:$G$107)</definedName>
    <definedName name="CI">'System Configurations'!$D$5:$D$8</definedName>
    <definedName name="CIS">'System Configurations'!$D$5:$D$15</definedName>
    <definedName name="components">'System Configurations'!$E$5:$E$15</definedName>
    <definedName name="Estimation_Method" localSheetId="0">[1]!Table3[Estimation Method]</definedName>
    <definedName name="Estimation_Method" localSheetId="1">[2]!Table3[Estimation Method]</definedName>
    <definedName name="Estimation_Method" localSheetId="3">Table3[Estimation Method]</definedName>
    <definedName name="Estimation_Method">Table3[Estimation Method]</definedName>
    <definedName name="Fruits" localSheetId="0">#REF!</definedName>
    <definedName name="Fruits" localSheetId="1">#REF!</definedName>
    <definedName name="Fruits">#REF!</definedName>
    <definedName name="SHS">'System Configurations'!$F$5:$F$15</definedName>
    <definedName name="SIPS">'System Configurations'!$H$5:$H$15</definedName>
    <definedName name="SMG">'System Configurations'!$G$5:$G$15</definedName>
    <definedName name="SSL">'System Configurations'!$I$5:$I$15</definedName>
    <definedName name="Vegetables" localSheetId="0">#REF!</definedName>
    <definedName name="Vegetables" localSheetId="1">#REF!</definedName>
    <definedName name="Veg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9" l="1"/>
  <c r="H30" i="9"/>
  <c r="T585" i="11"/>
  <c r="M585" i="11" s="1"/>
  <c r="K585" i="11" s="1"/>
  <c r="T584" i="11"/>
  <c r="M584" i="11" s="1"/>
  <c r="K584" i="11" s="1"/>
  <c r="J584" i="11"/>
  <c r="J585" i="11"/>
  <c r="H25" i="9"/>
  <c r="H24" i="9"/>
  <c r="H36" i="9" l="1"/>
  <c r="G36" i="9"/>
  <c r="M570" i="11"/>
  <c r="M571" i="11"/>
  <c r="M572" i="11"/>
  <c r="M573" i="11"/>
  <c r="M574" i="11"/>
  <c r="M575" i="11"/>
  <c r="M576" i="11"/>
  <c r="M577" i="11"/>
  <c r="M578" i="11"/>
  <c r="M579" i="11"/>
  <c r="M580" i="11"/>
  <c r="M581" i="11"/>
  <c r="M582" i="11"/>
  <c r="M583" i="11"/>
  <c r="M586" i="11"/>
  <c r="M587" i="11"/>
  <c r="M588" i="11"/>
  <c r="M589" i="11"/>
  <c r="M590" i="11"/>
  <c r="M591" i="11"/>
  <c r="M592" i="11"/>
  <c r="M593" i="11"/>
  <c r="M594" i="11"/>
  <c r="M595" i="11"/>
  <c r="M596" i="11"/>
  <c r="M597" i="11"/>
  <c r="M598" i="11"/>
  <c r="M599" i="11"/>
  <c r="M600" i="11"/>
  <c r="M601" i="11"/>
  <c r="M602" i="11"/>
  <c r="M603" i="11"/>
  <c r="M604" i="11"/>
  <c r="M605" i="11"/>
  <c r="M606" i="11"/>
  <c r="M607" i="11"/>
  <c r="M608" i="11"/>
  <c r="M609" i="11"/>
  <c r="M610" i="11"/>
  <c r="M611" i="11"/>
  <c r="M612" i="11"/>
  <c r="M613" i="11"/>
  <c r="M614" i="11"/>
  <c r="M615" i="11"/>
  <c r="M616" i="11"/>
  <c r="M617" i="11"/>
  <c r="M618" i="11"/>
  <c r="M619" i="11"/>
  <c r="M569" i="11"/>
  <c r="I36" i="9" l="1"/>
  <c r="G8" i="9"/>
  <c r="G10" i="9"/>
  <c r="G11" i="9"/>
  <c r="G12" i="9"/>
  <c r="G13" i="9"/>
  <c r="G14" i="9"/>
  <c r="G7" i="9"/>
  <c r="K556" i="11" l="1"/>
  <c r="K557" i="11"/>
  <c r="K558" i="11"/>
  <c r="K559" i="11"/>
  <c r="K560" i="11"/>
  <c r="K561" i="11"/>
  <c r="K562" i="11"/>
  <c r="K563" i="11"/>
  <c r="K564" i="11"/>
  <c r="K565" i="11"/>
  <c r="K566" i="11"/>
  <c r="K567" i="11"/>
  <c r="K568" i="11"/>
  <c r="K569" i="11"/>
  <c r="K570" i="11"/>
  <c r="K571" i="11"/>
  <c r="K572" i="11"/>
  <c r="K573" i="11"/>
  <c r="K574" i="11"/>
  <c r="K586" i="11"/>
  <c r="K587" i="11"/>
  <c r="K588" i="11"/>
  <c r="K589" i="11"/>
  <c r="K590" i="11"/>
  <c r="K591" i="11"/>
  <c r="K592" i="11"/>
  <c r="K593" i="11"/>
  <c r="K594" i="11"/>
  <c r="K595" i="11"/>
  <c r="K596" i="11"/>
  <c r="K597" i="11"/>
  <c r="K598" i="11"/>
  <c r="K599" i="11"/>
  <c r="K600" i="11"/>
  <c r="K601" i="11"/>
  <c r="K602" i="11"/>
  <c r="K603" i="11"/>
  <c r="K604" i="11"/>
  <c r="K605" i="11"/>
  <c r="K606" i="11"/>
  <c r="K607" i="11"/>
  <c r="K608" i="11"/>
  <c r="K609" i="11"/>
  <c r="K610" i="11"/>
  <c r="K611" i="11"/>
  <c r="K612" i="11"/>
  <c r="K613" i="11"/>
  <c r="K614" i="11"/>
  <c r="K615" i="11"/>
  <c r="K616" i="11"/>
  <c r="K617" i="11"/>
  <c r="K618" i="11"/>
  <c r="K619" i="11"/>
  <c r="J569" i="11"/>
  <c r="J570" i="11"/>
  <c r="J571" i="11"/>
  <c r="J572" i="11"/>
  <c r="J573" i="11"/>
  <c r="J574" i="11"/>
  <c r="J575" i="11"/>
  <c r="J576" i="11"/>
  <c r="J577" i="11"/>
  <c r="J578" i="11"/>
  <c r="J579" i="11"/>
  <c r="J580" i="11"/>
  <c r="J581" i="11"/>
  <c r="J582" i="11"/>
  <c r="J583" i="11"/>
  <c r="J586" i="11"/>
  <c r="J587" i="11"/>
  <c r="J588" i="11"/>
  <c r="J589" i="11"/>
  <c r="J590" i="11"/>
  <c r="J591" i="11"/>
  <c r="J592" i="11"/>
  <c r="J593" i="11"/>
  <c r="J594" i="11"/>
  <c r="J595" i="11"/>
  <c r="J596" i="11"/>
  <c r="J597" i="11"/>
  <c r="J598" i="11"/>
  <c r="J599" i="11"/>
  <c r="J600" i="11"/>
  <c r="J601" i="11"/>
  <c r="J602" i="11"/>
  <c r="J603" i="11"/>
  <c r="J604" i="11"/>
  <c r="J605" i="11"/>
  <c r="J606" i="11"/>
  <c r="J607" i="11"/>
  <c r="J608" i="11"/>
  <c r="J609" i="11"/>
  <c r="J610" i="11"/>
  <c r="J611" i="11"/>
  <c r="J612" i="11"/>
  <c r="J613" i="11"/>
  <c r="J614" i="11"/>
  <c r="J615" i="11"/>
  <c r="J616" i="11"/>
  <c r="J617" i="11"/>
  <c r="J618" i="11"/>
  <c r="J619" i="11"/>
  <c r="L296" i="11"/>
  <c r="J296" i="11" s="1"/>
  <c r="L297" i="11"/>
  <c r="L298" i="11"/>
  <c r="J298" i="11" s="1"/>
  <c r="L299" i="11"/>
  <c r="M299" i="11" s="1"/>
  <c r="K299" i="11" s="1"/>
  <c r="L300" i="11"/>
  <c r="M300" i="11" s="1"/>
  <c r="K300" i="11" s="1"/>
  <c r="L301" i="11"/>
  <c r="J301" i="11" s="1"/>
  <c r="L302" i="11"/>
  <c r="L303" i="11"/>
  <c r="M303" i="11" s="1"/>
  <c r="K303" i="11" s="1"/>
  <c r="L304" i="11"/>
  <c r="M304" i="11" s="1"/>
  <c r="K304" i="11" s="1"/>
  <c r="L305" i="11"/>
  <c r="L306" i="11"/>
  <c r="M306" i="11" s="1"/>
  <c r="K306" i="11" s="1"/>
  <c r="L307" i="11"/>
  <c r="M307" i="11" s="1"/>
  <c r="K307" i="11" s="1"/>
  <c r="L308" i="11"/>
  <c r="J308" i="11" s="1"/>
  <c r="L309" i="11"/>
  <c r="L310" i="11"/>
  <c r="L311" i="11"/>
  <c r="M311" i="11" s="1"/>
  <c r="K311" i="11" s="1"/>
  <c r="L312" i="11"/>
  <c r="J312" i="11" s="1"/>
  <c r="L313" i="11"/>
  <c r="J313" i="11" s="1"/>
  <c r="L314" i="11"/>
  <c r="J314" i="11" s="1"/>
  <c r="L315" i="11"/>
  <c r="M315" i="11" s="1"/>
  <c r="K315" i="11" s="1"/>
  <c r="L316" i="11"/>
  <c r="J316" i="11" s="1"/>
  <c r="L317" i="11"/>
  <c r="L318" i="11"/>
  <c r="L319" i="11"/>
  <c r="M319" i="11" s="1"/>
  <c r="K319" i="11" s="1"/>
  <c r="L320" i="11"/>
  <c r="M320" i="11" s="1"/>
  <c r="K320" i="11" s="1"/>
  <c r="L321" i="11"/>
  <c r="J321" i="11" s="1"/>
  <c r="L322" i="11"/>
  <c r="J322" i="11" s="1"/>
  <c r="L323" i="11"/>
  <c r="M323" i="11" s="1"/>
  <c r="K323" i="11" s="1"/>
  <c r="L324" i="11"/>
  <c r="J324" i="11" s="1"/>
  <c r="L325" i="11"/>
  <c r="L326" i="11"/>
  <c r="J326" i="11" s="1"/>
  <c r="L327" i="11"/>
  <c r="M327" i="11" s="1"/>
  <c r="K327" i="11" s="1"/>
  <c r="L328" i="11"/>
  <c r="J328" i="11" s="1"/>
  <c r="L329" i="11"/>
  <c r="J329" i="11" s="1"/>
  <c r="L330" i="11"/>
  <c r="L331" i="11"/>
  <c r="M331" i="11" s="1"/>
  <c r="K331" i="11" s="1"/>
  <c r="L332" i="11"/>
  <c r="J332" i="11" s="1"/>
  <c r="L333" i="11"/>
  <c r="L334" i="11"/>
  <c r="J334" i="11" s="1"/>
  <c r="L335" i="11"/>
  <c r="M335" i="11" s="1"/>
  <c r="K335" i="11" s="1"/>
  <c r="L336" i="11"/>
  <c r="M336" i="11" s="1"/>
  <c r="K336" i="11" s="1"/>
  <c r="L337" i="11"/>
  <c r="J337" i="11" s="1"/>
  <c r="L338" i="11"/>
  <c r="M338" i="11" s="1"/>
  <c r="K338" i="11" s="1"/>
  <c r="L339" i="11"/>
  <c r="M339" i="11" s="1"/>
  <c r="K339" i="11" s="1"/>
  <c r="L340" i="11"/>
  <c r="J340" i="11" s="1"/>
  <c r="L341" i="11"/>
  <c r="J341" i="11" s="1"/>
  <c r="L342" i="11"/>
  <c r="J342" i="11" s="1"/>
  <c r="L343" i="11"/>
  <c r="M343" i="11" s="1"/>
  <c r="K343" i="11" s="1"/>
  <c r="L344" i="11"/>
  <c r="J344" i="11" s="1"/>
  <c r="L345" i="11"/>
  <c r="L346" i="11"/>
  <c r="L347" i="11"/>
  <c r="M347" i="11" s="1"/>
  <c r="K347" i="11" s="1"/>
  <c r="L348" i="11"/>
  <c r="M348" i="11" s="1"/>
  <c r="K348" i="11" s="1"/>
  <c r="L349" i="11"/>
  <c r="J349" i="11" s="1"/>
  <c r="L350" i="11"/>
  <c r="J350" i="11" s="1"/>
  <c r="L351" i="11"/>
  <c r="M351" i="11" s="1"/>
  <c r="K351" i="11" s="1"/>
  <c r="L352" i="11"/>
  <c r="M352" i="11" s="1"/>
  <c r="K352" i="11" s="1"/>
  <c r="L353" i="11"/>
  <c r="L354" i="11"/>
  <c r="M354" i="11" s="1"/>
  <c r="K354" i="11" s="1"/>
  <c r="L355" i="11"/>
  <c r="M355" i="11" s="1"/>
  <c r="K355" i="11" s="1"/>
  <c r="L356" i="11"/>
  <c r="J356" i="11" s="1"/>
  <c r="L357" i="11"/>
  <c r="J357" i="11" s="1"/>
  <c r="L358" i="11"/>
  <c r="L359" i="11"/>
  <c r="M359" i="11" s="1"/>
  <c r="K359" i="11" s="1"/>
  <c r="L360" i="11"/>
  <c r="J360" i="11" s="1"/>
  <c r="L361" i="11"/>
  <c r="L362" i="11"/>
  <c r="J362" i="11" s="1"/>
  <c r="L363" i="11"/>
  <c r="M363" i="11" s="1"/>
  <c r="K363" i="11" s="1"/>
  <c r="L364" i="11"/>
  <c r="M364" i="11" s="1"/>
  <c r="K364" i="11" s="1"/>
  <c r="L365" i="11"/>
  <c r="J365" i="11" s="1"/>
  <c r="L366" i="11"/>
  <c r="L367" i="11"/>
  <c r="M367" i="11" s="1"/>
  <c r="K367" i="11" s="1"/>
  <c r="L368" i="11"/>
  <c r="M368" i="11" s="1"/>
  <c r="K368" i="11" s="1"/>
  <c r="L369" i="11"/>
  <c r="L370" i="11"/>
  <c r="M370" i="11" s="1"/>
  <c r="K370" i="11" s="1"/>
  <c r="L371" i="11"/>
  <c r="M371" i="11" s="1"/>
  <c r="K371" i="11" s="1"/>
  <c r="L372" i="11"/>
  <c r="J372" i="11" s="1"/>
  <c r="L373" i="11"/>
  <c r="L374" i="11"/>
  <c r="L375" i="11"/>
  <c r="M375" i="11" s="1"/>
  <c r="K375" i="11" s="1"/>
  <c r="L376" i="11"/>
  <c r="J376" i="11" s="1"/>
  <c r="L377" i="11"/>
  <c r="J377" i="11" s="1"/>
  <c r="L378" i="11"/>
  <c r="J378" i="11" s="1"/>
  <c r="L379" i="11"/>
  <c r="M379" i="11" s="1"/>
  <c r="K379" i="11" s="1"/>
  <c r="L380" i="11"/>
  <c r="M380" i="11" s="1"/>
  <c r="K380" i="11" s="1"/>
  <c r="L381" i="11"/>
  <c r="L382" i="11"/>
  <c r="J382" i="11" s="1"/>
  <c r="L383" i="11"/>
  <c r="M383" i="11" s="1"/>
  <c r="K383" i="11" s="1"/>
  <c r="L384" i="11"/>
  <c r="J384" i="11" s="1"/>
  <c r="L385" i="11"/>
  <c r="L386" i="11"/>
  <c r="M386" i="11" s="1"/>
  <c r="K386" i="11" s="1"/>
  <c r="L387" i="11"/>
  <c r="M387" i="11" s="1"/>
  <c r="K387" i="11" s="1"/>
  <c r="L388" i="11"/>
  <c r="J388" i="11" s="1"/>
  <c r="L389" i="11"/>
  <c r="J389" i="11" s="1"/>
  <c r="L390" i="11"/>
  <c r="J390" i="11" s="1"/>
  <c r="L391" i="11"/>
  <c r="M391" i="11" s="1"/>
  <c r="K391" i="11" s="1"/>
  <c r="L392" i="11"/>
  <c r="J392" i="11" s="1"/>
  <c r="L393" i="11"/>
  <c r="L394" i="11"/>
  <c r="L395" i="11"/>
  <c r="M395" i="11" s="1"/>
  <c r="K395" i="11" s="1"/>
  <c r="L396" i="11"/>
  <c r="M396" i="11" s="1"/>
  <c r="K396" i="11" s="1"/>
  <c r="L397" i="11"/>
  <c r="J397" i="11" s="1"/>
  <c r="L398" i="11"/>
  <c r="J398" i="11" s="1"/>
  <c r="L399" i="11"/>
  <c r="M399" i="11" s="1"/>
  <c r="K399" i="11" s="1"/>
  <c r="L400" i="11"/>
  <c r="J400" i="11" s="1"/>
  <c r="L401" i="11"/>
  <c r="L402" i="11"/>
  <c r="J402" i="11" s="1"/>
  <c r="L403" i="11"/>
  <c r="M403" i="11" s="1"/>
  <c r="K403" i="11" s="1"/>
  <c r="L404" i="11"/>
  <c r="J404" i="11" s="1"/>
  <c r="L405" i="11"/>
  <c r="J405" i="11" s="1"/>
  <c r="L406" i="11"/>
  <c r="L407" i="11"/>
  <c r="M407" i="11" s="1"/>
  <c r="K407" i="11" s="1"/>
  <c r="L408" i="11"/>
  <c r="J408" i="11" s="1"/>
  <c r="L409" i="11"/>
  <c r="L410" i="11"/>
  <c r="J410" i="11" s="1"/>
  <c r="L411" i="11"/>
  <c r="M411" i="11" s="1"/>
  <c r="K411" i="11" s="1"/>
  <c r="L412" i="11"/>
  <c r="M412" i="11" s="1"/>
  <c r="K412" i="11" s="1"/>
  <c r="L413" i="11"/>
  <c r="J413" i="11" s="1"/>
  <c r="L414" i="11"/>
  <c r="L415" i="11"/>
  <c r="M415" i="11" s="1"/>
  <c r="K415" i="11" s="1"/>
  <c r="L416" i="11"/>
  <c r="J416" i="11" s="1"/>
  <c r="L417" i="11"/>
  <c r="J417" i="11" s="1"/>
  <c r="L418" i="11"/>
  <c r="J418" i="11" s="1"/>
  <c r="L419" i="11"/>
  <c r="M419" i="11" s="1"/>
  <c r="K419" i="11" s="1"/>
  <c r="L420" i="11"/>
  <c r="J420" i="11" s="1"/>
  <c r="L421" i="11"/>
  <c r="L422" i="11"/>
  <c r="L423" i="11"/>
  <c r="M423" i="11" s="1"/>
  <c r="K423" i="11" s="1"/>
  <c r="L424" i="11"/>
  <c r="M424" i="11" s="1"/>
  <c r="K424" i="11" s="1"/>
  <c r="L425" i="11"/>
  <c r="J425" i="11" s="1"/>
  <c r="L426" i="11"/>
  <c r="J426" i="11" s="1"/>
  <c r="L427" i="11"/>
  <c r="M427" i="11" s="1"/>
  <c r="K427" i="11" s="1"/>
  <c r="L428" i="11"/>
  <c r="M428" i="11" s="1"/>
  <c r="K428" i="11" s="1"/>
  <c r="L429" i="11"/>
  <c r="L430" i="11"/>
  <c r="L431" i="11"/>
  <c r="M431" i="11" s="1"/>
  <c r="K431" i="11" s="1"/>
  <c r="L432" i="11"/>
  <c r="J432" i="11" s="1"/>
  <c r="L433" i="11"/>
  <c r="J433" i="11" s="1"/>
  <c r="L434" i="11"/>
  <c r="M434" i="11" s="1"/>
  <c r="K434" i="11" s="1"/>
  <c r="L435" i="11"/>
  <c r="M435" i="11" s="1"/>
  <c r="K435" i="11" s="1"/>
  <c r="L436" i="11"/>
  <c r="J436" i="11" s="1"/>
  <c r="L437" i="11"/>
  <c r="L438" i="11"/>
  <c r="J438" i="11" s="1"/>
  <c r="L439" i="11"/>
  <c r="M439" i="11" s="1"/>
  <c r="K439" i="11" s="1"/>
  <c r="L440" i="11"/>
  <c r="J440" i="11" s="1"/>
  <c r="L441" i="11"/>
  <c r="J441" i="11" s="1"/>
  <c r="L442" i="11"/>
  <c r="L443" i="11"/>
  <c r="M443" i="11" s="1"/>
  <c r="K443" i="11" s="1"/>
  <c r="L444" i="11"/>
  <c r="M444" i="11" s="1"/>
  <c r="K444" i="11" s="1"/>
  <c r="L445" i="11"/>
  <c r="L446" i="11"/>
  <c r="J446" i="11" s="1"/>
  <c r="L447" i="11"/>
  <c r="M447" i="11" s="1"/>
  <c r="K447" i="11" s="1"/>
  <c r="L448" i="11"/>
  <c r="J448" i="11" s="1"/>
  <c r="L449" i="11"/>
  <c r="L450" i="11"/>
  <c r="M450" i="11" s="1"/>
  <c r="K450" i="11" s="1"/>
  <c r="L451" i="11"/>
  <c r="M451" i="11" s="1"/>
  <c r="K451" i="11" s="1"/>
  <c r="L452" i="11"/>
  <c r="J452" i="11" s="1"/>
  <c r="L453" i="11"/>
  <c r="J453" i="11" s="1"/>
  <c r="L454" i="11"/>
  <c r="J454" i="11" s="1"/>
  <c r="L455" i="11"/>
  <c r="M455" i="11" s="1"/>
  <c r="K455" i="11" s="1"/>
  <c r="L456" i="11"/>
  <c r="M456" i="11" s="1"/>
  <c r="K456" i="11" s="1"/>
  <c r="L457" i="11"/>
  <c r="L458" i="11"/>
  <c r="L459" i="11"/>
  <c r="M459" i="11" s="1"/>
  <c r="K459" i="11" s="1"/>
  <c r="L460" i="11"/>
  <c r="M460" i="11" s="1"/>
  <c r="K460" i="11" s="1"/>
  <c r="L461" i="11"/>
  <c r="J461" i="11" s="1"/>
  <c r="L462" i="11"/>
  <c r="J462" i="11" s="1"/>
  <c r="L463" i="11"/>
  <c r="M463" i="11" s="1"/>
  <c r="K463" i="11" s="1"/>
  <c r="L464" i="11"/>
  <c r="J464" i="11" s="1"/>
  <c r="L465" i="11"/>
  <c r="L466" i="11"/>
  <c r="J466" i="11" s="1"/>
  <c r="L467" i="11"/>
  <c r="M467" i="11" s="1"/>
  <c r="K467" i="11" s="1"/>
  <c r="L468" i="11"/>
  <c r="J468" i="11" s="1"/>
  <c r="L469" i="11"/>
  <c r="J469" i="11" s="1"/>
  <c r="L470" i="11"/>
  <c r="L471" i="11"/>
  <c r="M471" i="11" s="1"/>
  <c r="K471" i="11" s="1"/>
  <c r="L472" i="11"/>
  <c r="M472" i="11" s="1"/>
  <c r="K472" i="11" s="1"/>
  <c r="L473" i="11"/>
  <c r="L474" i="11"/>
  <c r="J474" i="11" s="1"/>
  <c r="L475" i="11"/>
  <c r="M475" i="11" s="1"/>
  <c r="K475" i="11" s="1"/>
  <c r="L476" i="11"/>
  <c r="M476" i="11" s="1"/>
  <c r="K476" i="11" s="1"/>
  <c r="L477" i="11"/>
  <c r="J477" i="11" s="1"/>
  <c r="L478" i="11"/>
  <c r="L479" i="11"/>
  <c r="M479" i="11" s="1"/>
  <c r="K479" i="11" s="1"/>
  <c r="L480" i="11"/>
  <c r="J480" i="11" s="1"/>
  <c r="L481" i="11"/>
  <c r="J481" i="11" s="1"/>
  <c r="L482" i="11"/>
  <c r="J482" i="11" s="1"/>
  <c r="L483" i="11"/>
  <c r="M483" i="11" s="1"/>
  <c r="K483" i="11" s="1"/>
  <c r="L484" i="11"/>
  <c r="J484" i="11" s="1"/>
  <c r="L485" i="11"/>
  <c r="L486" i="11"/>
  <c r="L487" i="11"/>
  <c r="M487" i="11" s="1"/>
  <c r="K487" i="11" s="1"/>
  <c r="L488" i="11"/>
  <c r="M488" i="11" s="1"/>
  <c r="K488" i="11" s="1"/>
  <c r="L489" i="11"/>
  <c r="J489" i="11" s="1"/>
  <c r="L490" i="11"/>
  <c r="J490" i="11" s="1"/>
  <c r="L491" i="11"/>
  <c r="M491" i="11" s="1"/>
  <c r="K491" i="11" s="1"/>
  <c r="L492" i="11"/>
  <c r="M492" i="11" s="1"/>
  <c r="K492" i="11" s="1"/>
  <c r="L493" i="11"/>
  <c r="L494" i="11"/>
  <c r="L495" i="11"/>
  <c r="M495" i="11" s="1"/>
  <c r="K495" i="11" s="1"/>
  <c r="L496" i="11"/>
  <c r="J496" i="11" s="1"/>
  <c r="L497" i="11"/>
  <c r="J497" i="11" s="1"/>
  <c r="L498" i="11"/>
  <c r="M498" i="11" s="1"/>
  <c r="K498" i="11" s="1"/>
  <c r="L499" i="11"/>
  <c r="M499" i="11" s="1"/>
  <c r="K499" i="11" s="1"/>
  <c r="L500" i="11"/>
  <c r="J500" i="11" s="1"/>
  <c r="L501" i="11"/>
  <c r="L502" i="11"/>
  <c r="J502" i="11" s="1"/>
  <c r="L503" i="11"/>
  <c r="M503" i="11" s="1"/>
  <c r="K503" i="11" s="1"/>
  <c r="L504" i="11"/>
  <c r="J504" i="11" s="1"/>
  <c r="L505" i="11"/>
  <c r="J505" i="11" s="1"/>
  <c r="L506" i="11"/>
  <c r="L507" i="11"/>
  <c r="M507" i="11" s="1"/>
  <c r="K507" i="11" s="1"/>
  <c r="L508" i="11"/>
  <c r="M508" i="11" s="1"/>
  <c r="K508" i="11" s="1"/>
  <c r="L509" i="11"/>
  <c r="L510" i="11"/>
  <c r="J510" i="11" s="1"/>
  <c r="L511" i="11"/>
  <c r="M511" i="11" s="1"/>
  <c r="K511" i="11" s="1"/>
  <c r="L512" i="11"/>
  <c r="J512" i="11" s="1"/>
  <c r="L513" i="11"/>
  <c r="L514" i="11"/>
  <c r="M514" i="11" s="1"/>
  <c r="K514" i="11" s="1"/>
  <c r="L515" i="11"/>
  <c r="M515" i="11" s="1"/>
  <c r="K515" i="11" s="1"/>
  <c r="L516" i="11"/>
  <c r="J516" i="11" s="1"/>
  <c r="L517" i="11"/>
  <c r="J517" i="11" s="1"/>
  <c r="L518" i="11"/>
  <c r="J518" i="11" s="1"/>
  <c r="L519" i="11"/>
  <c r="M519" i="11" s="1"/>
  <c r="K519" i="11" s="1"/>
  <c r="L520" i="11"/>
  <c r="M520" i="11" s="1"/>
  <c r="K520" i="11" s="1"/>
  <c r="L521" i="11"/>
  <c r="L522" i="11"/>
  <c r="L523" i="11"/>
  <c r="M523" i="11" s="1"/>
  <c r="K523" i="11" s="1"/>
  <c r="L524" i="11"/>
  <c r="M524" i="11" s="1"/>
  <c r="K524" i="11" s="1"/>
  <c r="L525" i="11"/>
  <c r="J525" i="11" s="1"/>
  <c r="L526" i="11"/>
  <c r="J526" i="11" s="1"/>
  <c r="L527" i="11"/>
  <c r="M527" i="11" s="1"/>
  <c r="K527" i="11" s="1"/>
  <c r="L528" i="11"/>
  <c r="J528" i="11" s="1"/>
  <c r="L529" i="11"/>
  <c r="L530" i="11"/>
  <c r="J530" i="11" s="1"/>
  <c r="L531" i="11"/>
  <c r="M531" i="11" s="1"/>
  <c r="K531" i="11" s="1"/>
  <c r="L532" i="11"/>
  <c r="J532" i="11" s="1"/>
  <c r="L533" i="11"/>
  <c r="J533" i="11" s="1"/>
  <c r="L534" i="11"/>
  <c r="L535" i="11"/>
  <c r="M535" i="11" s="1"/>
  <c r="K535" i="11" s="1"/>
  <c r="L536" i="11"/>
  <c r="M536" i="11" s="1"/>
  <c r="K536" i="11" s="1"/>
  <c r="L537" i="11"/>
  <c r="L538" i="11"/>
  <c r="J538" i="11" s="1"/>
  <c r="L539" i="11"/>
  <c r="M539" i="11" s="1"/>
  <c r="K539" i="11" s="1"/>
  <c r="L540" i="11"/>
  <c r="M540" i="11" s="1"/>
  <c r="K540" i="11" s="1"/>
  <c r="L541" i="11"/>
  <c r="J541" i="11" s="1"/>
  <c r="L542" i="11"/>
  <c r="M542" i="11" s="1"/>
  <c r="K542" i="11" s="1"/>
  <c r="L543" i="11"/>
  <c r="M543" i="11" s="1"/>
  <c r="K543" i="11" s="1"/>
  <c r="L544" i="11"/>
  <c r="J544" i="11" s="1"/>
  <c r="L545" i="11"/>
  <c r="J545" i="11" s="1"/>
  <c r="L546" i="11"/>
  <c r="J546" i="11" s="1"/>
  <c r="L547" i="11"/>
  <c r="M547" i="11" s="1"/>
  <c r="K547" i="11" s="1"/>
  <c r="L548" i="11"/>
  <c r="J548" i="11" s="1"/>
  <c r="L549" i="11"/>
  <c r="L550" i="11"/>
  <c r="L551" i="11"/>
  <c r="M551" i="11" s="1"/>
  <c r="K551" i="11" s="1"/>
  <c r="L552" i="11"/>
  <c r="J552" i="11" s="1"/>
  <c r="L553" i="11"/>
  <c r="J553" i="11" s="1"/>
  <c r="L554" i="11"/>
  <c r="J554" i="11" s="1"/>
  <c r="L555" i="11"/>
  <c r="M555" i="11" s="1"/>
  <c r="K555" i="11" s="1"/>
  <c r="L556" i="11"/>
  <c r="J556" i="11" s="1"/>
  <c r="L557" i="11"/>
  <c r="J557" i="11" s="1"/>
  <c r="L558" i="11"/>
  <c r="J558" i="11" s="1"/>
  <c r="L559" i="11"/>
  <c r="J559" i="11" s="1"/>
  <c r="L560" i="11"/>
  <c r="J560" i="11" s="1"/>
  <c r="L561" i="11"/>
  <c r="J561" i="11" s="1"/>
  <c r="L562" i="11"/>
  <c r="J562" i="11" s="1"/>
  <c r="L563" i="11"/>
  <c r="J563" i="11" s="1"/>
  <c r="L564" i="11"/>
  <c r="J564" i="11" s="1"/>
  <c r="L565" i="11"/>
  <c r="J565" i="11" s="1"/>
  <c r="L566" i="11"/>
  <c r="J566" i="11" s="1"/>
  <c r="L567" i="11"/>
  <c r="J567" i="11" s="1"/>
  <c r="L568" i="11"/>
  <c r="J568" i="11" s="1"/>
  <c r="L17" i="11"/>
  <c r="L18" i="11"/>
  <c r="L19" i="11"/>
  <c r="J19" i="11" s="1"/>
  <c r="L20" i="11"/>
  <c r="J20" i="11" s="1"/>
  <c r="L21" i="11"/>
  <c r="M21" i="11" s="1"/>
  <c r="K21" i="11" s="1"/>
  <c r="L22" i="11"/>
  <c r="L23" i="11"/>
  <c r="J23" i="11" s="1"/>
  <c r="L24" i="11"/>
  <c r="M24" i="11" s="1"/>
  <c r="K24" i="11" s="1"/>
  <c r="L25" i="11"/>
  <c r="M25" i="11" s="1"/>
  <c r="K25" i="11" s="1"/>
  <c r="L26" i="11"/>
  <c r="L27" i="11"/>
  <c r="J27" i="11" s="1"/>
  <c r="L28" i="11"/>
  <c r="M28" i="11" s="1"/>
  <c r="K28" i="11" s="1"/>
  <c r="L29" i="11"/>
  <c r="J29" i="11" s="1"/>
  <c r="L30" i="11"/>
  <c r="L31" i="11"/>
  <c r="J31" i="11" s="1"/>
  <c r="L32" i="11"/>
  <c r="M32" i="11" s="1"/>
  <c r="K32" i="11" s="1"/>
  <c r="L33" i="11"/>
  <c r="L34" i="11"/>
  <c r="L35" i="11"/>
  <c r="J35" i="11" s="1"/>
  <c r="L36" i="11"/>
  <c r="M36" i="11" s="1"/>
  <c r="K36" i="11" s="1"/>
  <c r="L37" i="11"/>
  <c r="M37" i="11" s="1"/>
  <c r="K37" i="11" s="1"/>
  <c r="L38" i="11"/>
  <c r="L39" i="11"/>
  <c r="J39" i="11" s="1"/>
  <c r="L40" i="11"/>
  <c r="M40" i="11" s="1"/>
  <c r="K40" i="11" s="1"/>
  <c r="L41" i="11"/>
  <c r="M41" i="11" s="1"/>
  <c r="K41" i="11" s="1"/>
  <c r="L42" i="11"/>
  <c r="L43" i="11"/>
  <c r="J43" i="11" s="1"/>
  <c r="L44" i="11"/>
  <c r="L45" i="11"/>
  <c r="L46" i="11"/>
  <c r="L47" i="11"/>
  <c r="J47" i="11" s="1"/>
  <c r="L48" i="11"/>
  <c r="M48" i="11" s="1"/>
  <c r="K48" i="11" s="1"/>
  <c r="L49" i="11"/>
  <c r="J49" i="11" s="1"/>
  <c r="L50" i="11"/>
  <c r="L51" i="11"/>
  <c r="J51" i="11" s="1"/>
  <c r="L52" i="11"/>
  <c r="L53" i="11"/>
  <c r="L54" i="11"/>
  <c r="L55" i="11"/>
  <c r="J55" i="11" s="1"/>
  <c r="L56" i="11"/>
  <c r="L57" i="11"/>
  <c r="L58" i="11"/>
  <c r="L59" i="11"/>
  <c r="J59" i="11" s="1"/>
  <c r="L60" i="11"/>
  <c r="L61" i="11"/>
  <c r="J61" i="11" s="1"/>
  <c r="L62" i="11"/>
  <c r="L63" i="11"/>
  <c r="J63" i="11" s="1"/>
  <c r="L64" i="11"/>
  <c r="L65" i="11"/>
  <c r="L68" i="11"/>
  <c r="M68" i="11" s="1"/>
  <c r="K68" i="11" s="1"/>
  <c r="L70" i="11"/>
  <c r="L71" i="11"/>
  <c r="J71" i="11" s="1"/>
  <c r="L72" i="11"/>
  <c r="M72" i="11" s="1"/>
  <c r="K72" i="11" s="1"/>
  <c r="L73" i="11"/>
  <c r="M73" i="11" s="1"/>
  <c r="K73" i="11" s="1"/>
  <c r="L74" i="11"/>
  <c r="L75" i="11"/>
  <c r="L76" i="11"/>
  <c r="M76" i="11" s="1"/>
  <c r="K76" i="11" s="1"/>
  <c r="L77" i="11"/>
  <c r="J77" i="11" s="1"/>
  <c r="L78" i="11"/>
  <c r="L79" i="11"/>
  <c r="J79" i="11" s="1"/>
  <c r="L80" i="11"/>
  <c r="M80" i="11" s="1"/>
  <c r="K80" i="11" s="1"/>
  <c r="L81" i="11"/>
  <c r="J81" i="11" s="1"/>
  <c r="L82" i="11"/>
  <c r="J82" i="11" s="1"/>
  <c r="L83" i="11"/>
  <c r="L84" i="11"/>
  <c r="M84" i="11" s="1"/>
  <c r="K84" i="11" s="1"/>
  <c r="L85" i="11"/>
  <c r="M85" i="11" s="1"/>
  <c r="K85" i="11" s="1"/>
  <c r="L86" i="11"/>
  <c r="L87" i="11"/>
  <c r="L91" i="11"/>
  <c r="J91" i="11" s="1"/>
  <c r="L92" i="11"/>
  <c r="M92" i="11" s="1"/>
  <c r="K92" i="11" s="1"/>
  <c r="L93" i="11"/>
  <c r="J93" i="11" s="1"/>
  <c r="L94" i="11"/>
  <c r="L95" i="11"/>
  <c r="L96" i="11"/>
  <c r="M96" i="11" s="1"/>
  <c r="K96" i="11" s="1"/>
  <c r="L97" i="11"/>
  <c r="J97" i="11" s="1"/>
  <c r="L98" i="11"/>
  <c r="L99" i="11"/>
  <c r="J99" i="11" s="1"/>
  <c r="L100" i="11"/>
  <c r="M100" i="11" s="1"/>
  <c r="K100" i="11" s="1"/>
  <c r="L101" i="11"/>
  <c r="M101" i="11" s="1"/>
  <c r="K101" i="11" s="1"/>
  <c r="L102" i="11"/>
  <c r="L103" i="11"/>
  <c r="J103" i="11" s="1"/>
  <c r="L104" i="11"/>
  <c r="M104" i="11" s="1"/>
  <c r="K104" i="11" s="1"/>
  <c r="L105" i="11"/>
  <c r="M105" i="11" s="1"/>
  <c r="K105" i="11" s="1"/>
  <c r="L106" i="11"/>
  <c r="L107" i="11"/>
  <c r="L108" i="11"/>
  <c r="M108" i="11" s="1"/>
  <c r="K108" i="11" s="1"/>
  <c r="L109" i="11"/>
  <c r="J109" i="11" s="1"/>
  <c r="L110" i="11"/>
  <c r="L111" i="11"/>
  <c r="J111" i="11" s="1"/>
  <c r="L112" i="11"/>
  <c r="M112" i="11" s="1"/>
  <c r="K112" i="11" s="1"/>
  <c r="L113" i="11"/>
  <c r="J113" i="11" s="1"/>
  <c r="L114" i="11"/>
  <c r="L115" i="11"/>
  <c r="L116" i="11"/>
  <c r="M116" i="11" s="1"/>
  <c r="K116" i="11" s="1"/>
  <c r="L117" i="11"/>
  <c r="M117" i="11" s="1"/>
  <c r="K117" i="11" s="1"/>
  <c r="L118" i="11"/>
  <c r="L119" i="11"/>
  <c r="L120" i="11"/>
  <c r="M120" i="11" s="1"/>
  <c r="K120" i="11" s="1"/>
  <c r="L121" i="11"/>
  <c r="M121" i="11" s="1"/>
  <c r="K121" i="11" s="1"/>
  <c r="L122" i="11"/>
  <c r="L123" i="11"/>
  <c r="J123" i="11" s="1"/>
  <c r="L124" i="11"/>
  <c r="M124" i="11" s="1"/>
  <c r="K124" i="11" s="1"/>
  <c r="L125" i="11"/>
  <c r="J125" i="11" s="1"/>
  <c r="L126" i="11"/>
  <c r="L127" i="11"/>
  <c r="L128" i="11"/>
  <c r="M128" i="11" s="1"/>
  <c r="K128" i="11" s="1"/>
  <c r="L129" i="11"/>
  <c r="J129" i="11" s="1"/>
  <c r="L130" i="11"/>
  <c r="L131" i="11"/>
  <c r="J131" i="11" s="1"/>
  <c r="L132" i="11"/>
  <c r="M132" i="11" s="1"/>
  <c r="K132" i="11" s="1"/>
  <c r="L133" i="11"/>
  <c r="M133" i="11" s="1"/>
  <c r="K133" i="11" s="1"/>
  <c r="L134" i="11"/>
  <c r="L135" i="11"/>
  <c r="J135" i="11" s="1"/>
  <c r="L136" i="11"/>
  <c r="M136" i="11" s="1"/>
  <c r="K136" i="11" s="1"/>
  <c r="L137" i="11"/>
  <c r="M137" i="11" s="1"/>
  <c r="K137" i="11" s="1"/>
  <c r="L138" i="11"/>
  <c r="L139" i="11"/>
  <c r="L140" i="11"/>
  <c r="M140" i="11" s="1"/>
  <c r="K140" i="11" s="1"/>
  <c r="L141" i="11"/>
  <c r="J141" i="11" s="1"/>
  <c r="L142" i="11"/>
  <c r="L143" i="11"/>
  <c r="J143" i="11" s="1"/>
  <c r="L144" i="11"/>
  <c r="M144" i="11" s="1"/>
  <c r="K144" i="11" s="1"/>
  <c r="L145" i="11"/>
  <c r="J145" i="11" s="1"/>
  <c r="L146" i="11"/>
  <c r="J146" i="11" s="1"/>
  <c r="L147" i="11"/>
  <c r="L148" i="11"/>
  <c r="M148" i="11" s="1"/>
  <c r="K148" i="11" s="1"/>
  <c r="L149" i="11"/>
  <c r="M149" i="11" s="1"/>
  <c r="K149" i="11" s="1"/>
  <c r="L150" i="11"/>
  <c r="L151" i="11"/>
  <c r="L152" i="11"/>
  <c r="M152" i="11" s="1"/>
  <c r="K152" i="11" s="1"/>
  <c r="L153" i="11"/>
  <c r="M153" i="11" s="1"/>
  <c r="K153" i="11" s="1"/>
  <c r="L154" i="11"/>
  <c r="L155" i="11"/>
  <c r="J155" i="11" s="1"/>
  <c r="L156" i="11"/>
  <c r="M156" i="11" s="1"/>
  <c r="K156" i="11" s="1"/>
  <c r="L157" i="11"/>
  <c r="J157" i="11" s="1"/>
  <c r="L158" i="11"/>
  <c r="L159" i="11"/>
  <c r="L160" i="11"/>
  <c r="M160" i="11" s="1"/>
  <c r="K160" i="11" s="1"/>
  <c r="L161" i="11"/>
  <c r="J161" i="11" s="1"/>
  <c r="L162" i="11"/>
  <c r="L163" i="11"/>
  <c r="J163" i="11" s="1"/>
  <c r="L164" i="11"/>
  <c r="M164" i="11" s="1"/>
  <c r="K164" i="11" s="1"/>
  <c r="L165" i="11"/>
  <c r="M165" i="11" s="1"/>
  <c r="K165" i="11" s="1"/>
  <c r="L166" i="11"/>
  <c r="L167" i="11"/>
  <c r="J167" i="11" s="1"/>
  <c r="L168" i="11"/>
  <c r="M168" i="11" s="1"/>
  <c r="K168" i="11" s="1"/>
  <c r="L169" i="11"/>
  <c r="M169" i="11" s="1"/>
  <c r="K169" i="11" s="1"/>
  <c r="L170" i="11"/>
  <c r="L171" i="11"/>
  <c r="L172" i="11"/>
  <c r="M172" i="11" s="1"/>
  <c r="K172" i="11" s="1"/>
  <c r="L173" i="11"/>
  <c r="J173" i="11" s="1"/>
  <c r="L174" i="11"/>
  <c r="L175" i="11"/>
  <c r="J175" i="11" s="1"/>
  <c r="L176" i="11"/>
  <c r="M176" i="11" s="1"/>
  <c r="K176" i="11" s="1"/>
  <c r="L177" i="11"/>
  <c r="J177" i="11" s="1"/>
  <c r="L178" i="11"/>
  <c r="L179" i="11"/>
  <c r="L180" i="11"/>
  <c r="M180" i="11" s="1"/>
  <c r="K180" i="11" s="1"/>
  <c r="L181" i="11"/>
  <c r="M181" i="11" s="1"/>
  <c r="K181" i="11" s="1"/>
  <c r="L182" i="11"/>
  <c r="L183" i="11"/>
  <c r="L184" i="11"/>
  <c r="M184" i="11" s="1"/>
  <c r="K184" i="11" s="1"/>
  <c r="L185" i="11"/>
  <c r="M185" i="11" s="1"/>
  <c r="K185" i="11" s="1"/>
  <c r="L186" i="11"/>
  <c r="L187" i="11"/>
  <c r="J187" i="11" s="1"/>
  <c r="L188" i="11"/>
  <c r="M188" i="11" s="1"/>
  <c r="K188" i="11" s="1"/>
  <c r="L189" i="11"/>
  <c r="J189" i="11" s="1"/>
  <c r="L190" i="11"/>
  <c r="L191" i="11"/>
  <c r="L192" i="11"/>
  <c r="M192" i="11" s="1"/>
  <c r="K192" i="11" s="1"/>
  <c r="L193" i="11"/>
  <c r="J193" i="11" s="1"/>
  <c r="L194" i="11"/>
  <c r="L197" i="11"/>
  <c r="M197" i="11" s="1"/>
  <c r="K197" i="11" s="1"/>
  <c r="L198" i="11"/>
  <c r="L199" i="11"/>
  <c r="J199" i="11" s="1"/>
  <c r="L201" i="11"/>
  <c r="M201" i="11" s="1"/>
  <c r="K201" i="11" s="1"/>
  <c r="L202" i="11"/>
  <c r="L203" i="11"/>
  <c r="L204" i="11"/>
  <c r="M204" i="11" s="1"/>
  <c r="K204" i="11" s="1"/>
  <c r="L205" i="11"/>
  <c r="J205" i="11" s="1"/>
  <c r="L207" i="11"/>
  <c r="J207" i="11" s="1"/>
  <c r="L208" i="11"/>
  <c r="L209" i="11"/>
  <c r="J209" i="11" s="1"/>
  <c r="L210" i="11"/>
  <c r="J210" i="11" s="1"/>
  <c r="L211" i="11"/>
  <c r="J211" i="11" s="1"/>
  <c r="L212" i="11"/>
  <c r="M212" i="11" s="1"/>
  <c r="K212" i="11" s="1"/>
  <c r="L213" i="11"/>
  <c r="M213" i="11" s="1"/>
  <c r="K213" i="11" s="1"/>
  <c r="L214" i="11"/>
  <c r="L215" i="11"/>
  <c r="J215" i="11" s="1"/>
  <c r="L216" i="11"/>
  <c r="L217" i="11"/>
  <c r="M217" i="11" s="1"/>
  <c r="K217" i="11" s="1"/>
  <c r="L218" i="11"/>
  <c r="L219" i="11"/>
  <c r="J219" i="11" s="1"/>
  <c r="L220" i="11"/>
  <c r="M220" i="11" s="1"/>
  <c r="K220" i="11" s="1"/>
  <c r="L221" i="11"/>
  <c r="J221" i="11" s="1"/>
  <c r="L222" i="11"/>
  <c r="L223" i="11"/>
  <c r="J223" i="11" s="1"/>
  <c r="L224" i="11"/>
  <c r="L225" i="11"/>
  <c r="L226" i="11"/>
  <c r="L227" i="11"/>
  <c r="J227" i="11" s="1"/>
  <c r="L228" i="11"/>
  <c r="M228" i="11" s="1"/>
  <c r="K228" i="11" s="1"/>
  <c r="L229" i="11"/>
  <c r="M229" i="11" s="1"/>
  <c r="K229" i="11" s="1"/>
  <c r="L230" i="11"/>
  <c r="L231" i="11"/>
  <c r="J231" i="11" s="1"/>
  <c r="L232" i="11"/>
  <c r="M232" i="11" s="1"/>
  <c r="K232" i="11" s="1"/>
  <c r="L233" i="11"/>
  <c r="M233" i="11" s="1"/>
  <c r="K233" i="11" s="1"/>
  <c r="L234" i="11"/>
  <c r="L235" i="11"/>
  <c r="J235" i="11" s="1"/>
  <c r="L236" i="11"/>
  <c r="M236" i="11" s="1"/>
  <c r="K236" i="11" s="1"/>
  <c r="L237" i="11"/>
  <c r="L238" i="11"/>
  <c r="L239" i="11"/>
  <c r="J239" i="11" s="1"/>
  <c r="L240" i="11"/>
  <c r="L241" i="11"/>
  <c r="J241" i="11" s="1"/>
  <c r="L242" i="11"/>
  <c r="L243" i="11"/>
  <c r="J243" i="11" s="1"/>
  <c r="L244" i="11"/>
  <c r="M244" i="11" s="1"/>
  <c r="K244" i="11" s="1"/>
  <c r="L245" i="11"/>
  <c r="M245" i="11" s="1"/>
  <c r="K245" i="11" s="1"/>
  <c r="L246" i="11"/>
  <c r="J246" i="11" s="1"/>
  <c r="L247" i="11"/>
  <c r="J247" i="11" s="1"/>
  <c r="L248" i="11"/>
  <c r="L249" i="11"/>
  <c r="M249" i="11" s="1"/>
  <c r="K249" i="11" s="1"/>
  <c r="L250" i="11"/>
  <c r="L251" i="11"/>
  <c r="J251" i="11" s="1"/>
  <c r="L252" i="11"/>
  <c r="M252" i="11" s="1"/>
  <c r="K252" i="11" s="1"/>
  <c r="L253" i="11"/>
  <c r="J253" i="11" s="1"/>
  <c r="L254" i="11"/>
  <c r="L255" i="11"/>
  <c r="J255" i="11" s="1"/>
  <c r="L256" i="11"/>
  <c r="L257" i="11"/>
  <c r="L258" i="11"/>
  <c r="L259" i="11"/>
  <c r="J259" i="11" s="1"/>
  <c r="L260" i="11"/>
  <c r="L261" i="11"/>
  <c r="L262" i="11"/>
  <c r="J262" i="11" s="1"/>
  <c r="L263" i="11"/>
  <c r="J263" i="11" s="1"/>
  <c r="L264" i="11"/>
  <c r="J264" i="11" s="1"/>
  <c r="L265" i="11"/>
  <c r="L266" i="11"/>
  <c r="L267" i="11"/>
  <c r="J267" i="11" s="1"/>
  <c r="L268" i="11"/>
  <c r="L269" i="11"/>
  <c r="J269" i="11" s="1"/>
  <c r="L270" i="11"/>
  <c r="L271" i="11"/>
  <c r="J271" i="11" s="1"/>
  <c r="L272" i="11"/>
  <c r="J272" i="11" s="1"/>
  <c r="L273" i="11"/>
  <c r="J273" i="11" s="1"/>
  <c r="L274" i="11"/>
  <c r="J274" i="11" s="1"/>
  <c r="L275" i="11"/>
  <c r="J275" i="11" s="1"/>
  <c r="L276" i="11"/>
  <c r="L277" i="11"/>
  <c r="L278" i="11"/>
  <c r="L279" i="11"/>
  <c r="J279" i="11" s="1"/>
  <c r="L280" i="11"/>
  <c r="M280" i="11" s="1"/>
  <c r="K280" i="11" s="1"/>
  <c r="L281" i="11"/>
  <c r="M281" i="11" s="1"/>
  <c r="K281" i="11" s="1"/>
  <c r="L282" i="11"/>
  <c r="M282" i="11" s="1"/>
  <c r="K282" i="11" s="1"/>
  <c r="L283" i="11"/>
  <c r="J283" i="11" s="1"/>
  <c r="L284" i="11"/>
  <c r="M284" i="11" s="1"/>
  <c r="K284" i="11" s="1"/>
  <c r="L285" i="11"/>
  <c r="L286" i="11"/>
  <c r="M286" i="11" s="1"/>
  <c r="K286" i="11" s="1"/>
  <c r="L287" i="11"/>
  <c r="J287" i="11" s="1"/>
  <c r="L288" i="11"/>
  <c r="M288" i="11" s="1"/>
  <c r="K288" i="11" s="1"/>
  <c r="L289" i="11"/>
  <c r="J289" i="11" s="1"/>
  <c r="L290" i="11"/>
  <c r="M290" i="11" s="1"/>
  <c r="K290" i="11" s="1"/>
  <c r="L291" i="11"/>
  <c r="J291" i="11" s="1"/>
  <c r="L292" i="11"/>
  <c r="M292" i="11" s="1"/>
  <c r="K292" i="11" s="1"/>
  <c r="L293" i="11"/>
  <c r="M293" i="11" s="1"/>
  <c r="K293" i="11" s="1"/>
  <c r="L294" i="11"/>
  <c r="M294" i="11" s="1"/>
  <c r="K294" i="11" s="1"/>
  <c r="L295" i="11"/>
  <c r="J295" i="11" s="1"/>
  <c r="M398" i="11"/>
  <c r="K398" i="11" s="1"/>
  <c r="M81" i="11"/>
  <c r="K81" i="11" s="1"/>
  <c r="K576" i="11"/>
  <c r="K577" i="11"/>
  <c r="K578" i="11"/>
  <c r="K579" i="11"/>
  <c r="K580" i="11"/>
  <c r="K581" i="11"/>
  <c r="K582" i="11"/>
  <c r="K583" i="11"/>
  <c r="C2" i="9"/>
  <c r="H26" i="9" l="1"/>
  <c r="G17" i="9"/>
  <c r="H27" i="9"/>
  <c r="M175" i="11"/>
  <c r="K175" i="11" s="1"/>
  <c r="M79" i="11"/>
  <c r="K79" i="11" s="1"/>
  <c r="M356" i="11"/>
  <c r="K356" i="11" s="1"/>
  <c r="M227" i="11"/>
  <c r="K227" i="11" s="1"/>
  <c r="M243" i="11"/>
  <c r="K243" i="11" s="1"/>
  <c r="G9" i="9"/>
  <c r="H23" i="9"/>
  <c r="G23" i="9"/>
  <c r="G25" i="9"/>
  <c r="G24" i="9"/>
  <c r="I24" i="9" s="1"/>
  <c r="M397" i="11"/>
  <c r="K397" i="11" s="1"/>
  <c r="G21" i="9"/>
  <c r="H20" i="9"/>
  <c r="H18" i="9"/>
  <c r="G19" i="9"/>
  <c r="H21" i="9"/>
  <c r="I21" i="9" s="1"/>
  <c r="H19" i="9"/>
  <c r="G22" i="9"/>
  <c r="G20" i="9"/>
  <c r="H22" i="9"/>
  <c r="H35" i="9"/>
  <c r="G33" i="9"/>
  <c r="I33" i="9" s="1"/>
  <c r="G35" i="9"/>
  <c r="G30" i="9"/>
  <c r="I30" i="9" s="1"/>
  <c r="H34" i="9"/>
  <c r="G32" i="9"/>
  <c r="I32" i="9" s="1"/>
  <c r="G31" i="9"/>
  <c r="I31" i="9" s="1"/>
  <c r="G34" i="9"/>
  <c r="M469" i="11"/>
  <c r="K469" i="11" s="1"/>
  <c r="M313" i="11"/>
  <c r="K313" i="11" s="1"/>
  <c r="M291" i="11"/>
  <c r="K291" i="11" s="1"/>
  <c r="M161" i="11"/>
  <c r="K161" i="11" s="1"/>
  <c r="M350" i="11"/>
  <c r="K350" i="11" s="1"/>
  <c r="M289" i="11"/>
  <c r="K289" i="11" s="1"/>
  <c r="M546" i="11"/>
  <c r="K546" i="11" s="1"/>
  <c r="M462" i="11"/>
  <c r="K462" i="11" s="1"/>
  <c r="M326" i="11"/>
  <c r="K326" i="11" s="1"/>
  <c r="M111" i="11"/>
  <c r="K111" i="11" s="1"/>
  <c r="M538" i="11"/>
  <c r="K538" i="11" s="1"/>
  <c r="M433" i="11"/>
  <c r="K433" i="11" s="1"/>
  <c r="M378" i="11"/>
  <c r="K378" i="11" s="1"/>
  <c r="M482" i="11"/>
  <c r="K482" i="11" s="1"/>
  <c r="M410" i="11"/>
  <c r="K410" i="11" s="1"/>
  <c r="M141" i="11"/>
  <c r="K141" i="11" s="1"/>
  <c r="M525" i="11"/>
  <c r="K525" i="11" s="1"/>
  <c r="M400" i="11"/>
  <c r="K400" i="11" s="1"/>
  <c r="M337" i="11"/>
  <c r="K337" i="11" s="1"/>
  <c r="M211" i="11"/>
  <c r="K211" i="11" s="1"/>
  <c r="M461" i="11"/>
  <c r="K461" i="11" s="1"/>
  <c r="M365" i="11"/>
  <c r="K365" i="11" s="1"/>
  <c r="M259" i="11"/>
  <c r="K259" i="11" s="1"/>
  <c r="M189" i="11"/>
  <c r="K189" i="11" s="1"/>
  <c r="M49" i="11"/>
  <c r="K49" i="11" s="1"/>
  <c r="M448" i="11"/>
  <c r="K448" i="11" s="1"/>
  <c r="G27" i="9"/>
  <c r="I27" i="9" s="1"/>
  <c r="G26" i="9"/>
  <c r="I26" i="9" s="1"/>
  <c r="G29" i="9"/>
  <c r="I29" i="9" s="1"/>
  <c r="G28" i="9"/>
  <c r="I28" i="9" s="1"/>
  <c r="G18" i="9"/>
  <c r="H17" i="9"/>
  <c r="M39" i="11"/>
  <c r="K39" i="11" s="1"/>
  <c r="M545" i="11"/>
  <c r="K545" i="11" s="1"/>
  <c r="M497" i="11"/>
  <c r="K497" i="11" s="1"/>
  <c r="M417" i="11"/>
  <c r="K417" i="11" s="1"/>
  <c r="J160" i="11"/>
  <c r="M35" i="11"/>
  <c r="K35" i="11" s="1"/>
  <c r="J96" i="11"/>
  <c r="M377" i="11"/>
  <c r="K377" i="11" s="1"/>
  <c r="M349" i="11"/>
  <c r="K349" i="11" s="1"/>
  <c r="M301" i="11"/>
  <c r="K301" i="11" s="1"/>
  <c r="M51" i="11"/>
  <c r="K51" i="11" s="1"/>
  <c r="M23" i="11"/>
  <c r="K23" i="11" s="1"/>
  <c r="M533" i="11"/>
  <c r="K533" i="11" s="1"/>
  <c r="M481" i="11"/>
  <c r="K481" i="11" s="1"/>
  <c r="M405" i="11"/>
  <c r="K405" i="11" s="1"/>
  <c r="K575" i="11"/>
  <c r="M239" i="11"/>
  <c r="K239" i="11" s="1"/>
  <c r="M207" i="11"/>
  <c r="K207" i="11" s="1"/>
  <c r="M157" i="11"/>
  <c r="K157" i="11" s="1"/>
  <c r="M109" i="11"/>
  <c r="K109" i="11" s="1"/>
  <c r="M512" i="11"/>
  <c r="K512" i="11" s="1"/>
  <c r="M464" i="11"/>
  <c r="K464" i="11" s="1"/>
  <c r="M416" i="11"/>
  <c r="K416" i="11" s="1"/>
  <c r="J32" i="11"/>
  <c r="M308" i="11"/>
  <c r="K308" i="11" s="1"/>
  <c r="M255" i="11"/>
  <c r="K255" i="11" s="1"/>
  <c r="M223" i="11"/>
  <c r="K223" i="11" s="1"/>
  <c r="M177" i="11"/>
  <c r="K177" i="11" s="1"/>
  <c r="M129" i="11"/>
  <c r="K129" i="11" s="1"/>
  <c r="J152" i="11"/>
  <c r="J24" i="11"/>
  <c r="M20" i="11"/>
  <c r="K20" i="11" s="1"/>
  <c r="M372" i="11"/>
  <c r="K372" i="11" s="1"/>
  <c r="M324" i="11"/>
  <c r="K324" i="11" s="1"/>
  <c r="M287" i="11"/>
  <c r="K287" i="11" s="1"/>
  <c r="M251" i="11"/>
  <c r="K251" i="11" s="1"/>
  <c r="M235" i="11"/>
  <c r="K235" i="11" s="1"/>
  <c r="M219" i="11"/>
  <c r="K219" i="11" s="1"/>
  <c r="M205" i="11"/>
  <c r="K205" i="11" s="1"/>
  <c r="M145" i="11"/>
  <c r="K145" i="11" s="1"/>
  <c r="M125" i="11"/>
  <c r="K125" i="11" s="1"/>
  <c r="M97" i="11"/>
  <c r="K97" i="11" s="1"/>
  <c r="M77" i="11"/>
  <c r="K77" i="11" s="1"/>
  <c r="M47" i="11"/>
  <c r="K47" i="11" s="1"/>
  <c r="M31" i="11"/>
  <c r="K31" i="11" s="1"/>
  <c r="M528" i="11"/>
  <c r="K528" i="11" s="1"/>
  <c r="M480" i="11"/>
  <c r="K480" i="11" s="1"/>
  <c r="M432" i="11"/>
  <c r="K432" i="11" s="1"/>
  <c r="J192" i="11"/>
  <c r="J128" i="11"/>
  <c r="J64" i="11"/>
  <c r="M19" i="11"/>
  <c r="K19" i="11" s="1"/>
  <c r="M340" i="11"/>
  <c r="K340" i="11" s="1"/>
  <c r="M314" i="11"/>
  <c r="K314" i="11" s="1"/>
  <c r="M295" i="11"/>
  <c r="K295" i="11" s="1"/>
  <c r="M283" i="11"/>
  <c r="K283" i="11" s="1"/>
  <c r="M247" i="11"/>
  <c r="K247" i="11" s="1"/>
  <c r="M231" i="11"/>
  <c r="K231" i="11" s="1"/>
  <c r="M215" i="11"/>
  <c r="K215" i="11" s="1"/>
  <c r="M193" i="11"/>
  <c r="K193" i="11" s="1"/>
  <c r="M173" i="11"/>
  <c r="K173" i="11" s="1"/>
  <c r="M143" i="11"/>
  <c r="K143" i="11" s="1"/>
  <c r="M113" i="11"/>
  <c r="K113" i="11" s="1"/>
  <c r="M93" i="11"/>
  <c r="K93" i="11" s="1"/>
  <c r="M27" i="11"/>
  <c r="K27" i="11" s="1"/>
  <c r="M544" i="11"/>
  <c r="K544" i="11" s="1"/>
  <c r="M526" i="11"/>
  <c r="K526" i="11" s="1"/>
  <c r="M496" i="11"/>
  <c r="K496" i="11" s="1"/>
  <c r="M474" i="11"/>
  <c r="K474" i="11" s="1"/>
  <c r="M418" i="11"/>
  <c r="K418" i="11" s="1"/>
  <c r="M384" i="11"/>
  <c r="K384" i="11" s="1"/>
  <c r="J184" i="11"/>
  <c r="J120" i="11"/>
  <c r="J56" i="11"/>
  <c r="J285" i="11"/>
  <c r="M285" i="11"/>
  <c r="K285" i="11" s="1"/>
  <c r="J257" i="11"/>
  <c r="M257" i="11"/>
  <c r="K257" i="11" s="1"/>
  <c r="J191" i="11"/>
  <c r="M191" i="11"/>
  <c r="K191" i="11" s="1"/>
  <c r="J95" i="11"/>
  <c r="M95" i="11"/>
  <c r="K95" i="11" s="1"/>
  <c r="J83" i="11"/>
  <c r="M83" i="11"/>
  <c r="K83" i="11" s="1"/>
  <c r="J550" i="11"/>
  <c r="M550" i="11"/>
  <c r="K550" i="11" s="1"/>
  <c r="M506" i="11"/>
  <c r="K506" i="11" s="1"/>
  <c r="J506" i="11"/>
  <c r="M494" i="11"/>
  <c r="K494" i="11" s="1"/>
  <c r="J494" i="11"/>
  <c r="J486" i="11"/>
  <c r="M486" i="11"/>
  <c r="K486" i="11" s="1"/>
  <c r="M442" i="11"/>
  <c r="K442" i="11" s="1"/>
  <c r="J442" i="11"/>
  <c r="M414" i="11"/>
  <c r="K414" i="11" s="1"/>
  <c r="J414" i="11"/>
  <c r="J406" i="11"/>
  <c r="M406" i="11"/>
  <c r="K406" i="11" s="1"/>
  <c r="J394" i="11"/>
  <c r="M394" i="11"/>
  <c r="K394" i="11" s="1"/>
  <c r="M366" i="11"/>
  <c r="K366" i="11" s="1"/>
  <c r="J366" i="11"/>
  <c r="J358" i="11"/>
  <c r="M358" i="11"/>
  <c r="K358" i="11" s="1"/>
  <c r="M302" i="11"/>
  <c r="K302" i="11" s="1"/>
  <c r="J302" i="11"/>
  <c r="J521" i="11"/>
  <c r="M521" i="11"/>
  <c r="K521" i="11" s="1"/>
  <c r="J513" i="11"/>
  <c r="M513" i="11"/>
  <c r="K513" i="11" s="1"/>
  <c r="J509" i="11"/>
  <c r="M509" i="11"/>
  <c r="K509" i="11" s="1"/>
  <c r="J501" i="11"/>
  <c r="M501" i="11"/>
  <c r="K501" i="11" s="1"/>
  <c r="J493" i="11"/>
  <c r="M493" i="11"/>
  <c r="K493" i="11" s="1"/>
  <c r="J485" i="11"/>
  <c r="M485" i="11"/>
  <c r="K485" i="11" s="1"/>
  <c r="J473" i="11"/>
  <c r="M473" i="11"/>
  <c r="K473" i="11" s="1"/>
  <c r="J465" i="11"/>
  <c r="M465" i="11"/>
  <c r="K465" i="11" s="1"/>
  <c r="J457" i="11"/>
  <c r="M457" i="11"/>
  <c r="K457" i="11" s="1"/>
  <c r="J449" i="11"/>
  <c r="M449" i="11"/>
  <c r="K449" i="11" s="1"/>
  <c r="J445" i="11"/>
  <c r="M445" i="11"/>
  <c r="K445" i="11" s="1"/>
  <c r="J401" i="11"/>
  <c r="M401" i="11"/>
  <c r="K401" i="11" s="1"/>
  <c r="J393" i="11"/>
  <c r="M393" i="11"/>
  <c r="K393" i="11" s="1"/>
  <c r="J385" i="11"/>
  <c r="M385" i="11"/>
  <c r="K385" i="11" s="1"/>
  <c r="J361" i="11"/>
  <c r="M361" i="11"/>
  <c r="K361" i="11" s="1"/>
  <c r="J353" i="11"/>
  <c r="M353" i="11"/>
  <c r="K353" i="11" s="1"/>
  <c r="J345" i="11"/>
  <c r="M345" i="11"/>
  <c r="K345" i="11" s="1"/>
  <c r="J333" i="11"/>
  <c r="M333" i="11"/>
  <c r="K333" i="11" s="1"/>
  <c r="J317" i="11"/>
  <c r="M317" i="11"/>
  <c r="K317" i="11" s="1"/>
  <c r="J309" i="11"/>
  <c r="M309" i="11"/>
  <c r="K309" i="11" s="1"/>
  <c r="J542" i="11"/>
  <c r="J354" i="11"/>
  <c r="M357" i="11"/>
  <c r="K357" i="11" s="1"/>
  <c r="M342" i="11"/>
  <c r="K342" i="11" s="1"/>
  <c r="M334" i="11"/>
  <c r="K334" i="11" s="1"/>
  <c r="M322" i="11"/>
  <c r="K322" i="11" s="1"/>
  <c r="M199" i="11"/>
  <c r="K199" i="11" s="1"/>
  <c r="M187" i="11"/>
  <c r="K187" i="11" s="1"/>
  <c r="M167" i="11"/>
  <c r="K167" i="11" s="1"/>
  <c r="M155" i="11"/>
  <c r="K155" i="11" s="1"/>
  <c r="M135" i="11"/>
  <c r="K135" i="11" s="1"/>
  <c r="M123" i="11"/>
  <c r="K123" i="11" s="1"/>
  <c r="M103" i="11"/>
  <c r="K103" i="11" s="1"/>
  <c r="M91" i="11"/>
  <c r="K91" i="11" s="1"/>
  <c r="M71" i="11"/>
  <c r="K71" i="11" s="1"/>
  <c r="M554" i="11"/>
  <c r="K554" i="11" s="1"/>
  <c r="M530" i="11"/>
  <c r="K530" i="11" s="1"/>
  <c r="M518" i="11"/>
  <c r="K518" i="11" s="1"/>
  <c r="M505" i="11"/>
  <c r="K505" i="11" s="1"/>
  <c r="M490" i="11"/>
  <c r="K490" i="11" s="1"/>
  <c r="M466" i="11"/>
  <c r="K466" i="11" s="1"/>
  <c r="M454" i="11"/>
  <c r="K454" i="11" s="1"/>
  <c r="M441" i="11"/>
  <c r="K441" i="11" s="1"/>
  <c r="M426" i="11"/>
  <c r="K426" i="11" s="1"/>
  <c r="M402" i="11"/>
  <c r="K402" i="11" s="1"/>
  <c r="M390" i="11"/>
  <c r="K390" i="11" s="1"/>
  <c r="J338" i="11"/>
  <c r="J232" i="11"/>
  <c r="J237" i="11"/>
  <c r="M237" i="11"/>
  <c r="K237" i="11" s="1"/>
  <c r="J225" i="11"/>
  <c r="M225" i="11"/>
  <c r="K225" i="11" s="1"/>
  <c r="J183" i="11"/>
  <c r="M183" i="11"/>
  <c r="K183" i="11" s="1"/>
  <c r="J179" i="11"/>
  <c r="M179" i="11"/>
  <c r="K179" i="11" s="1"/>
  <c r="J171" i="11"/>
  <c r="M171" i="11"/>
  <c r="K171" i="11" s="1"/>
  <c r="J159" i="11"/>
  <c r="M159" i="11"/>
  <c r="K159" i="11" s="1"/>
  <c r="J151" i="11"/>
  <c r="M151" i="11"/>
  <c r="K151" i="11" s="1"/>
  <c r="J147" i="11"/>
  <c r="M147" i="11"/>
  <c r="K147" i="11" s="1"/>
  <c r="J139" i="11"/>
  <c r="M139" i="11"/>
  <c r="K139" i="11" s="1"/>
  <c r="J127" i="11"/>
  <c r="M127" i="11"/>
  <c r="K127" i="11" s="1"/>
  <c r="J119" i="11"/>
  <c r="M119" i="11"/>
  <c r="K119" i="11" s="1"/>
  <c r="J115" i="11"/>
  <c r="M115" i="11"/>
  <c r="K115" i="11" s="1"/>
  <c r="J107" i="11"/>
  <c r="M107" i="11"/>
  <c r="K107" i="11" s="1"/>
  <c r="J87" i="11"/>
  <c r="M87" i="11"/>
  <c r="K87" i="11" s="1"/>
  <c r="J75" i="11"/>
  <c r="M75" i="11"/>
  <c r="K75" i="11" s="1"/>
  <c r="J534" i="11"/>
  <c r="M534" i="11"/>
  <c r="K534" i="11" s="1"/>
  <c r="J522" i="11"/>
  <c r="M522" i="11"/>
  <c r="K522" i="11" s="1"/>
  <c r="M478" i="11"/>
  <c r="K478" i="11" s="1"/>
  <c r="J478" i="11"/>
  <c r="J470" i="11"/>
  <c r="M470" i="11"/>
  <c r="K470" i="11" s="1"/>
  <c r="J458" i="11"/>
  <c r="M458" i="11"/>
  <c r="K458" i="11" s="1"/>
  <c r="M430" i="11"/>
  <c r="K430" i="11" s="1"/>
  <c r="J430" i="11"/>
  <c r="J422" i="11"/>
  <c r="M422" i="11"/>
  <c r="K422" i="11" s="1"/>
  <c r="J374" i="11"/>
  <c r="M374" i="11"/>
  <c r="K374" i="11" s="1"/>
  <c r="M346" i="11"/>
  <c r="K346" i="11" s="1"/>
  <c r="J346" i="11"/>
  <c r="M330" i="11"/>
  <c r="K330" i="11" s="1"/>
  <c r="J330" i="11"/>
  <c r="J318" i="11"/>
  <c r="M318" i="11"/>
  <c r="K318" i="11" s="1"/>
  <c r="J310" i="11"/>
  <c r="M310" i="11"/>
  <c r="K310" i="11" s="1"/>
  <c r="J498" i="11"/>
  <c r="J434" i="11"/>
  <c r="J370" i="11"/>
  <c r="J306" i="11"/>
  <c r="M362" i="11"/>
  <c r="K362" i="11" s="1"/>
  <c r="M298" i="11"/>
  <c r="K298" i="11" s="1"/>
  <c r="M253" i="11"/>
  <c r="K253" i="11" s="1"/>
  <c r="M241" i="11"/>
  <c r="K241" i="11" s="1"/>
  <c r="M510" i="11"/>
  <c r="K510" i="11" s="1"/>
  <c r="M446" i="11"/>
  <c r="K446" i="11" s="1"/>
  <c r="M382" i="11"/>
  <c r="K382" i="11" s="1"/>
  <c r="M256" i="11"/>
  <c r="K256" i="11" s="1"/>
  <c r="J256" i="11"/>
  <c r="M248" i="11"/>
  <c r="K248" i="11" s="1"/>
  <c r="J248" i="11"/>
  <c r="M240" i="11"/>
  <c r="K240" i="11" s="1"/>
  <c r="J240" i="11"/>
  <c r="M224" i="11"/>
  <c r="K224" i="11" s="1"/>
  <c r="J224" i="11"/>
  <c r="M216" i="11"/>
  <c r="K216" i="11" s="1"/>
  <c r="J216" i="11"/>
  <c r="M208" i="11"/>
  <c r="K208" i="11" s="1"/>
  <c r="J208" i="11"/>
  <c r="J203" i="11"/>
  <c r="M203" i="11"/>
  <c r="K203" i="11" s="1"/>
  <c r="J65" i="11"/>
  <c r="J45" i="11"/>
  <c r="J33" i="11"/>
  <c r="M33" i="11"/>
  <c r="K33" i="11" s="1"/>
  <c r="J549" i="11"/>
  <c r="M549" i="11"/>
  <c r="K549" i="11" s="1"/>
  <c r="J537" i="11"/>
  <c r="M537" i="11"/>
  <c r="K537" i="11" s="1"/>
  <c r="J529" i="11"/>
  <c r="M529" i="11"/>
  <c r="K529" i="11" s="1"/>
  <c r="J437" i="11"/>
  <c r="M437" i="11"/>
  <c r="K437" i="11" s="1"/>
  <c r="J429" i="11"/>
  <c r="M429" i="11"/>
  <c r="K429" i="11" s="1"/>
  <c r="J421" i="11"/>
  <c r="M421" i="11"/>
  <c r="K421" i="11" s="1"/>
  <c r="J409" i="11"/>
  <c r="M409" i="11"/>
  <c r="K409" i="11" s="1"/>
  <c r="J381" i="11"/>
  <c r="M381" i="11"/>
  <c r="K381" i="11" s="1"/>
  <c r="J373" i="11"/>
  <c r="M373" i="11"/>
  <c r="K373" i="11" s="1"/>
  <c r="J369" i="11"/>
  <c r="M369" i="11"/>
  <c r="K369" i="11" s="1"/>
  <c r="J325" i="11"/>
  <c r="M325" i="11"/>
  <c r="K325" i="11" s="1"/>
  <c r="J305" i="11"/>
  <c r="M305" i="11"/>
  <c r="K305" i="11" s="1"/>
  <c r="J297" i="11"/>
  <c r="M297" i="11"/>
  <c r="K297" i="11" s="1"/>
  <c r="M341" i="11"/>
  <c r="K341" i="11" s="1"/>
  <c r="M329" i="11"/>
  <c r="K329" i="11" s="1"/>
  <c r="M321" i="11"/>
  <c r="K321" i="11" s="1"/>
  <c r="M221" i="11"/>
  <c r="K221" i="11" s="1"/>
  <c r="M209" i="11"/>
  <c r="K209" i="11" s="1"/>
  <c r="M163" i="11"/>
  <c r="K163" i="11" s="1"/>
  <c r="M131" i="11"/>
  <c r="K131" i="11" s="1"/>
  <c r="M99" i="11"/>
  <c r="K99" i="11" s="1"/>
  <c r="M29" i="11"/>
  <c r="K29" i="11" s="1"/>
  <c r="M553" i="11"/>
  <c r="K553" i="11" s="1"/>
  <c r="M541" i="11"/>
  <c r="K541" i="11" s="1"/>
  <c r="M517" i="11"/>
  <c r="K517" i="11" s="1"/>
  <c r="M502" i="11"/>
  <c r="K502" i="11" s="1"/>
  <c r="M489" i="11"/>
  <c r="K489" i="11" s="1"/>
  <c r="M477" i="11"/>
  <c r="K477" i="11" s="1"/>
  <c r="M453" i="11"/>
  <c r="K453" i="11" s="1"/>
  <c r="M438" i="11"/>
  <c r="K438" i="11" s="1"/>
  <c r="M425" i="11"/>
  <c r="K425" i="11" s="1"/>
  <c r="M413" i="11"/>
  <c r="K413" i="11" s="1"/>
  <c r="M389" i="11"/>
  <c r="K389" i="11" s="1"/>
  <c r="J514" i="11"/>
  <c r="J450" i="11"/>
  <c r="J386" i="11"/>
  <c r="J299" i="11"/>
  <c r="J176" i="11"/>
  <c r="J144" i="11"/>
  <c r="J112" i="11"/>
  <c r="J80" i="11"/>
  <c r="J48" i="11"/>
  <c r="J168" i="11"/>
  <c r="J136" i="11"/>
  <c r="J104" i="11"/>
  <c r="J72" i="11"/>
  <c r="J40" i="11"/>
  <c r="J266" i="11"/>
  <c r="M254" i="11"/>
  <c r="K254" i="11" s="1"/>
  <c r="J254" i="11"/>
  <c r="M242" i="11"/>
  <c r="K242" i="11" s="1"/>
  <c r="J242" i="11"/>
  <c r="M234" i="11"/>
  <c r="K234" i="11" s="1"/>
  <c r="J234" i="11"/>
  <c r="M222" i="11"/>
  <c r="K222" i="11" s="1"/>
  <c r="J222" i="11"/>
  <c r="M214" i="11"/>
  <c r="K214" i="11" s="1"/>
  <c r="J214" i="11"/>
  <c r="M202" i="11"/>
  <c r="K202" i="11" s="1"/>
  <c r="J202" i="11"/>
  <c r="M190" i="11"/>
  <c r="K190" i="11" s="1"/>
  <c r="J190" i="11"/>
  <c r="M182" i="11"/>
  <c r="K182" i="11" s="1"/>
  <c r="J182" i="11"/>
  <c r="M170" i="11"/>
  <c r="K170" i="11" s="1"/>
  <c r="J170" i="11"/>
  <c r="M158" i="11"/>
  <c r="K158" i="11" s="1"/>
  <c r="J158" i="11"/>
  <c r="M150" i="11"/>
  <c r="K150" i="11" s="1"/>
  <c r="J150" i="11"/>
  <c r="M138" i="11"/>
  <c r="K138" i="11" s="1"/>
  <c r="J138" i="11"/>
  <c r="M126" i="11"/>
  <c r="K126" i="11" s="1"/>
  <c r="J126" i="11"/>
  <c r="M118" i="11"/>
  <c r="K118" i="11" s="1"/>
  <c r="J118" i="11"/>
  <c r="M106" i="11"/>
  <c r="K106" i="11" s="1"/>
  <c r="J106" i="11"/>
  <c r="M98" i="11"/>
  <c r="K98" i="11" s="1"/>
  <c r="J98" i="11"/>
  <c r="M86" i="11"/>
  <c r="K86" i="11" s="1"/>
  <c r="J86" i="11"/>
  <c r="M74" i="11"/>
  <c r="K74" i="11" s="1"/>
  <c r="J74" i="11"/>
  <c r="J62" i="11"/>
  <c r="M50" i="11"/>
  <c r="K50" i="11" s="1"/>
  <c r="J50" i="11"/>
  <c r="M38" i="11"/>
  <c r="K38" i="11" s="1"/>
  <c r="J38" i="11"/>
  <c r="M30" i="11"/>
  <c r="K30" i="11" s="1"/>
  <c r="J30" i="11"/>
  <c r="M18" i="11"/>
  <c r="K18" i="11" s="1"/>
  <c r="J18" i="11"/>
  <c r="J294" i="11"/>
  <c r="J290" i="11"/>
  <c r="J286" i="11"/>
  <c r="J282" i="11"/>
  <c r="J278" i="11"/>
  <c r="J270" i="11"/>
  <c r="M376" i="11"/>
  <c r="K376" i="11" s="1"/>
  <c r="M360" i="11"/>
  <c r="K360" i="11" s="1"/>
  <c r="M344" i="11"/>
  <c r="K344" i="11" s="1"/>
  <c r="M328" i="11"/>
  <c r="K328" i="11" s="1"/>
  <c r="M312" i="11"/>
  <c r="K312" i="11" s="1"/>
  <c r="M296" i="11"/>
  <c r="K296" i="11" s="1"/>
  <c r="M210" i="11"/>
  <c r="K210" i="11" s="1"/>
  <c r="M548" i="11"/>
  <c r="K548" i="11" s="1"/>
  <c r="M532" i="11"/>
  <c r="K532" i="11" s="1"/>
  <c r="M516" i="11"/>
  <c r="K516" i="11" s="1"/>
  <c r="M500" i="11"/>
  <c r="K500" i="11" s="1"/>
  <c r="M484" i="11"/>
  <c r="K484" i="11" s="1"/>
  <c r="M468" i="11"/>
  <c r="K468" i="11" s="1"/>
  <c r="M452" i="11"/>
  <c r="K452" i="11" s="1"/>
  <c r="M436" i="11"/>
  <c r="K436" i="11" s="1"/>
  <c r="M420" i="11"/>
  <c r="K420" i="11" s="1"/>
  <c r="M404" i="11"/>
  <c r="K404" i="11" s="1"/>
  <c r="M388" i="11"/>
  <c r="K388" i="11" s="1"/>
  <c r="M17" i="11"/>
  <c r="K17" i="11" s="1"/>
  <c r="J17" i="11"/>
  <c r="J293" i="11"/>
  <c r="J281" i="11"/>
  <c r="J277" i="11"/>
  <c r="J261" i="11"/>
  <c r="J245" i="11"/>
  <c r="J229" i="11"/>
  <c r="J213" i="11"/>
  <c r="J197" i="11"/>
  <c r="J181" i="11"/>
  <c r="J165" i="11"/>
  <c r="J149" i="11"/>
  <c r="J133" i="11"/>
  <c r="J117" i="11"/>
  <c r="J101" i="11"/>
  <c r="J85" i="11"/>
  <c r="J53" i="11"/>
  <c r="J37" i="11"/>
  <c r="J21" i="11"/>
  <c r="M250" i="11"/>
  <c r="K250" i="11" s="1"/>
  <c r="J250" i="11"/>
  <c r="M230" i="11"/>
  <c r="K230" i="11" s="1"/>
  <c r="J230" i="11"/>
  <c r="M218" i="11"/>
  <c r="K218" i="11" s="1"/>
  <c r="J218" i="11"/>
  <c r="M194" i="11"/>
  <c r="K194" i="11" s="1"/>
  <c r="J194" i="11"/>
  <c r="M178" i="11"/>
  <c r="K178" i="11" s="1"/>
  <c r="J178" i="11"/>
  <c r="M166" i="11"/>
  <c r="K166" i="11" s="1"/>
  <c r="J166" i="11"/>
  <c r="M154" i="11"/>
  <c r="K154" i="11" s="1"/>
  <c r="J154" i="11"/>
  <c r="M142" i="11"/>
  <c r="K142" i="11" s="1"/>
  <c r="J142" i="11"/>
  <c r="M130" i="11"/>
  <c r="K130" i="11" s="1"/>
  <c r="J130" i="11"/>
  <c r="M114" i="11"/>
  <c r="K114" i="11" s="1"/>
  <c r="J114" i="11"/>
  <c r="M102" i="11"/>
  <c r="K102" i="11" s="1"/>
  <c r="J102" i="11"/>
  <c r="M78" i="11"/>
  <c r="K78" i="11" s="1"/>
  <c r="J78" i="11"/>
  <c r="J54" i="11"/>
  <c r="J42" i="11"/>
  <c r="M26" i="11"/>
  <c r="K26" i="11" s="1"/>
  <c r="J26" i="11"/>
  <c r="M332" i="11"/>
  <c r="K332" i="11" s="1"/>
  <c r="M316" i="11"/>
  <c r="K316" i="11" s="1"/>
  <c r="M552" i="11"/>
  <c r="K552" i="11" s="1"/>
  <c r="M504" i="11"/>
  <c r="K504" i="11" s="1"/>
  <c r="M440" i="11"/>
  <c r="K440" i="11" s="1"/>
  <c r="M408" i="11"/>
  <c r="K408" i="11" s="1"/>
  <c r="M392" i="11"/>
  <c r="K392" i="11" s="1"/>
  <c r="J540" i="11"/>
  <c r="J536" i="11"/>
  <c r="J524" i="11"/>
  <c r="J520" i="11"/>
  <c r="J508" i="11"/>
  <c r="J492" i="11"/>
  <c r="J488" i="11"/>
  <c r="J476" i="11"/>
  <c r="J472" i="11"/>
  <c r="J460" i="11"/>
  <c r="J456" i="11"/>
  <c r="J444" i="11"/>
  <c r="J428" i="11"/>
  <c r="J424" i="11"/>
  <c r="J412" i="11"/>
  <c r="J396" i="11"/>
  <c r="J380" i="11"/>
  <c r="J368" i="11"/>
  <c r="J364" i="11"/>
  <c r="J352" i="11"/>
  <c r="J348" i="11"/>
  <c r="J336" i="11"/>
  <c r="J320" i="11"/>
  <c r="J304" i="11"/>
  <c r="J300" i="11"/>
  <c r="J292" i="11"/>
  <c r="J288" i="11"/>
  <c r="J284" i="11"/>
  <c r="J280" i="11"/>
  <c r="J276" i="11"/>
  <c r="J268" i="11"/>
  <c r="J260" i="11"/>
  <c r="J252" i="11"/>
  <c r="J244" i="11"/>
  <c r="J236" i="11"/>
  <c r="J228" i="11"/>
  <c r="J220" i="11"/>
  <c r="J212" i="11"/>
  <c r="J204" i="11"/>
  <c r="J188" i="11"/>
  <c r="J180" i="11"/>
  <c r="J172" i="11"/>
  <c r="J164" i="11"/>
  <c r="J156" i="11"/>
  <c r="J148" i="11"/>
  <c r="J140" i="11"/>
  <c r="J132" i="11"/>
  <c r="J124" i="11"/>
  <c r="J116" i="11"/>
  <c r="J108" i="11"/>
  <c r="J100" i="11"/>
  <c r="J92" i="11"/>
  <c r="J84" i="11"/>
  <c r="J76" i="11"/>
  <c r="J68" i="11"/>
  <c r="J60" i="11"/>
  <c r="J52" i="11"/>
  <c r="J44" i="11"/>
  <c r="J36" i="11"/>
  <c r="J28" i="11"/>
  <c r="M258" i="11"/>
  <c r="K258" i="11" s="1"/>
  <c r="J258" i="11"/>
  <c r="M238" i="11"/>
  <c r="K238" i="11" s="1"/>
  <c r="J238" i="11"/>
  <c r="M226" i="11"/>
  <c r="K226" i="11" s="1"/>
  <c r="J226" i="11"/>
  <c r="M198" i="11"/>
  <c r="K198" i="11" s="1"/>
  <c r="J198" i="11"/>
  <c r="M186" i="11"/>
  <c r="K186" i="11" s="1"/>
  <c r="J186" i="11"/>
  <c r="M174" i="11"/>
  <c r="K174" i="11" s="1"/>
  <c r="J174" i="11"/>
  <c r="M162" i="11"/>
  <c r="K162" i="11" s="1"/>
  <c r="J162" i="11"/>
  <c r="M134" i="11"/>
  <c r="K134" i="11" s="1"/>
  <c r="J134" i="11"/>
  <c r="M122" i="11"/>
  <c r="K122" i="11" s="1"/>
  <c r="J122" i="11"/>
  <c r="M110" i="11"/>
  <c r="K110" i="11" s="1"/>
  <c r="J110" i="11"/>
  <c r="M94" i="11"/>
  <c r="K94" i="11" s="1"/>
  <c r="J94" i="11"/>
  <c r="M70" i="11"/>
  <c r="K70" i="11" s="1"/>
  <c r="J70" i="11"/>
  <c r="J58" i="11"/>
  <c r="J46" i="11"/>
  <c r="M34" i="11"/>
  <c r="K34" i="11" s="1"/>
  <c r="J34" i="11"/>
  <c r="M22" i="11"/>
  <c r="K22" i="11" s="1"/>
  <c r="J22" i="11"/>
  <c r="M146" i="11"/>
  <c r="K146" i="11" s="1"/>
  <c r="M246" i="11"/>
  <c r="K246" i="11" s="1"/>
  <c r="M82" i="11"/>
  <c r="K82" i="11" s="1"/>
  <c r="J555" i="11"/>
  <c r="J551" i="11"/>
  <c r="J547" i="11"/>
  <c r="J543" i="11"/>
  <c r="J539" i="11"/>
  <c r="J535" i="11"/>
  <c r="J531" i="11"/>
  <c r="J527" i="11"/>
  <c r="J523" i="11"/>
  <c r="J519" i="11"/>
  <c r="J515" i="11"/>
  <c r="J511" i="11"/>
  <c r="J507" i="11"/>
  <c r="J503" i="11"/>
  <c r="J499" i="11"/>
  <c r="J495" i="11"/>
  <c r="J491" i="11"/>
  <c r="J487" i="11"/>
  <c r="J483" i="11"/>
  <c r="J479" i="11"/>
  <c r="J475" i="11"/>
  <c r="J471" i="11"/>
  <c r="J467" i="11"/>
  <c r="J463" i="11"/>
  <c r="J459" i="11"/>
  <c r="J455" i="11"/>
  <c r="J451" i="11"/>
  <c r="J447" i="11"/>
  <c r="J443" i="11"/>
  <c r="J439" i="11"/>
  <c r="J435" i="11"/>
  <c r="J431" i="11"/>
  <c r="J427" i="11"/>
  <c r="J423" i="11"/>
  <c r="J419" i="11"/>
  <c r="J415" i="11"/>
  <c r="J411" i="11"/>
  <c r="J407" i="11"/>
  <c r="J403" i="11"/>
  <c r="J399" i="11"/>
  <c r="J395" i="11"/>
  <c r="J391" i="11"/>
  <c r="J387" i="11"/>
  <c r="J383" i="11"/>
  <c r="J379" i="11"/>
  <c r="J375" i="11"/>
  <c r="J371" i="11"/>
  <c r="J367" i="11"/>
  <c r="J363" i="11"/>
  <c r="J359" i="11"/>
  <c r="J355" i="11"/>
  <c r="J351" i="11"/>
  <c r="J347" i="11"/>
  <c r="J343" i="11"/>
  <c r="J339" i="11"/>
  <c r="J335" i="11"/>
  <c r="J331" i="11"/>
  <c r="J327" i="11"/>
  <c r="J323" i="11"/>
  <c r="J319" i="11"/>
  <c r="J315" i="11"/>
  <c r="J311" i="11"/>
  <c r="J307" i="11"/>
  <c r="J303" i="11"/>
  <c r="J265" i="11"/>
  <c r="J249" i="11"/>
  <c r="J233" i="11"/>
  <c r="J217" i="11"/>
  <c r="J201" i="11"/>
  <c r="J185" i="11"/>
  <c r="J169" i="11"/>
  <c r="J153" i="11"/>
  <c r="J137" i="11"/>
  <c r="J121" i="11"/>
  <c r="J105" i="11"/>
  <c r="J73" i="11"/>
  <c r="J57" i="11"/>
  <c r="J41" i="11"/>
  <c r="J25" i="11"/>
  <c r="D154" i="2"/>
  <c r="D153" i="2"/>
  <c r="D152" i="2"/>
  <c r="D62" i="2"/>
  <c r="D61" i="2"/>
  <c r="D60" i="2"/>
  <c r="D46" i="2"/>
  <c r="D45" i="2"/>
  <c r="D30" i="2"/>
  <c r="D29" i="2"/>
  <c r="D15" i="2"/>
  <c r="I19" i="9" l="1"/>
  <c r="I20" i="9"/>
  <c r="I23" i="9"/>
  <c r="I34" i="9"/>
  <c r="I35" i="9"/>
  <c r="I17" i="9"/>
  <c r="I22" i="9"/>
  <c r="I18" i="9"/>
  <c r="I25" i="9"/>
  <c r="O555" i="11"/>
  <c r="O554" i="11"/>
  <c r="O553" i="11"/>
  <c r="O552" i="11"/>
  <c r="O551" i="11"/>
  <c r="O550" i="11"/>
  <c r="O549" i="11"/>
  <c r="O548" i="11"/>
  <c r="O547" i="11"/>
  <c r="O546" i="11"/>
  <c r="O545" i="11"/>
  <c r="O544" i="11"/>
  <c r="O543" i="11"/>
  <c r="O542" i="11"/>
  <c r="O541" i="11"/>
  <c r="O540" i="11"/>
  <c r="O539" i="11"/>
  <c r="O538" i="11"/>
  <c r="O537" i="11"/>
  <c r="O536" i="11"/>
  <c r="O535" i="11"/>
  <c r="O534" i="11"/>
  <c r="O533" i="11"/>
  <c r="O532" i="11"/>
  <c r="O531" i="11"/>
  <c r="O530" i="11"/>
  <c r="O529" i="11"/>
  <c r="O528" i="11"/>
  <c r="O527" i="11"/>
  <c r="O526" i="11"/>
  <c r="O525" i="11"/>
  <c r="O524" i="11"/>
  <c r="O523" i="11"/>
  <c r="O522" i="11"/>
  <c r="O521" i="11"/>
  <c r="O520" i="11"/>
  <c r="O519" i="11"/>
  <c r="O518" i="11"/>
  <c r="O517" i="11"/>
  <c r="O516" i="11"/>
  <c r="O515" i="11"/>
  <c r="O514" i="11"/>
  <c r="O513" i="11"/>
  <c r="O512" i="11"/>
  <c r="O511" i="11"/>
  <c r="O510" i="11"/>
  <c r="O509" i="11"/>
  <c r="O508" i="11"/>
  <c r="O507" i="11"/>
  <c r="O506" i="11"/>
  <c r="O505" i="11"/>
  <c r="O504" i="11"/>
  <c r="O503" i="11"/>
  <c r="O502" i="11"/>
  <c r="O501" i="11"/>
  <c r="O500" i="11"/>
  <c r="O499" i="11"/>
  <c r="O498" i="11"/>
  <c r="O497" i="11"/>
  <c r="O496" i="11"/>
  <c r="O495" i="11"/>
  <c r="O494" i="11"/>
  <c r="O493" i="11"/>
  <c r="O492" i="11"/>
  <c r="O491" i="11"/>
  <c r="O490" i="11"/>
  <c r="O489" i="11"/>
  <c r="O488" i="11"/>
  <c r="O487" i="11"/>
  <c r="O486" i="11"/>
  <c r="O485" i="11"/>
  <c r="O484" i="11"/>
  <c r="O483" i="11"/>
  <c r="O482" i="11"/>
  <c r="O481" i="11"/>
  <c r="O480" i="11"/>
  <c r="O479" i="11"/>
  <c r="O478" i="11"/>
  <c r="O477" i="11"/>
  <c r="O476" i="11"/>
  <c r="O475" i="11"/>
  <c r="O474" i="11"/>
  <c r="O473" i="11"/>
  <c r="O472" i="11"/>
  <c r="O471" i="11"/>
  <c r="O470" i="11"/>
  <c r="O469" i="11"/>
  <c r="O468" i="11"/>
  <c r="O467" i="11"/>
  <c r="O466" i="11"/>
  <c r="O465" i="11"/>
  <c r="O464" i="11"/>
  <c r="O463" i="11"/>
  <c r="O462" i="11"/>
  <c r="O461" i="11"/>
  <c r="O460" i="11"/>
  <c r="O459" i="11"/>
  <c r="O458" i="11"/>
  <c r="O457" i="11"/>
  <c r="O456" i="11"/>
  <c r="O455" i="11"/>
  <c r="O454" i="11"/>
  <c r="O453" i="11"/>
  <c r="O452" i="11"/>
  <c r="O451" i="11"/>
  <c r="O450" i="11"/>
  <c r="O449" i="11"/>
  <c r="O448" i="11"/>
  <c r="O447" i="11"/>
  <c r="O446" i="11"/>
  <c r="O445" i="11"/>
  <c r="O444" i="11"/>
  <c r="O443" i="11"/>
  <c r="O442" i="11"/>
  <c r="O441" i="11"/>
  <c r="O440" i="11"/>
  <c r="O439" i="11"/>
  <c r="O438" i="11"/>
  <c r="O437" i="11"/>
  <c r="O436" i="11"/>
  <c r="O435" i="11"/>
  <c r="O434" i="11"/>
  <c r="O433" i="11"/>
  <c r="O432" i="11"/>
  <c r="O431" i="11"/>
  <c r="O430" i="11"/>
  <c r="O429" i="11"/>
  <c r="O428" i="11"/>
  <c r="O427" i="11"/>
  <c r="O426" i="11"/>
  <c r="O425" i="11"/>
  <c r="O424" i="11"/>
  <c r="O423" i="11"/>
  <c r="O422" i="11"/>
  <c r="O421" i="11"/>
  <c r="O420" i="11"/>
  <c r="O419" i="11"/>
  <c r="O418" i="11"/>
  <c r="O417" i="11"/>
  <c r="O416" i="11"/>
  <c r="O415" i="11"/>
  <c r="O414" i="11"/>
  <c r="O413" i="11"/>
  <c r="O412" i="11"/>
  <c r="O411" i="11"/>
  <c r="O410" i="11"/>
  <c r="O409" i="11"/>
  <c r="O408" i="11"/>
  <c r="O407" i="11"/>
  <c r="O406" i="11"/>
  <c r="O405" i="11"/>
  <c r="O404" i="11"/>
  <c r="O403" i="11"/>
  <c r="O402" i="11"/>
  <c r="O401" i="11"/>
  <c r="O400" i="11"/>
  <c r="O399" i="11"/>
  <c r="O398" i="11"/>
  <c r="O397" i="11"/>
  <c r="O396" i="11"/>
  <c r="O395" i="11"/>
  <c r="O394" i="11"/>
  <c r="O393" i="11"/>
  <c r="O392" i="11"/>
  <c r="O391" i="11"/>
  <c r="O390" i="11"/>
  <c r="O389" i="11"/>
  <c r="O388" i="11"/>
  <c r="O387" i="11"/>
  <c r="O386" i="11"/>
  <c r="O385" i="11"/>
  <c r="O384" i="11"/>
  <c r="O383" i="11"/>
  <c r="O382" i="11"/>
  <c r="O381" i="11"/>
  <c r="Q380" i="11"/>
  <c r="O380" i="11"/>
  <c r="Q379" i="11"/>
  <c r="O379" i="11"/>
  <c r="Q378" i="11"/>
  <c r="O378" i="11"/>
  <c r="Q377" i="11"/>
  <c r="O377" i="11"/>
  <c r="Q376" i="11"/>
  <c r="O376" i="11"/>
  <c r="Q375" i="11"/>
  <c r="O375" i="11"/>
  <c r="Q374" i="11"/>
  <c r="O374" i="11"/>
  <c r="Q373" i="11"/>
  <c r="O373" i="11"/>
  <c r="Q372" i="11"/>
  <c r="O372" i="11"/>
  <c r="Q371" i="11"/>
  <c r="O371" i="11"/>
  <c r="Q370" i="11"/>
  <c r="O370" i="11"/>
  <c r="Q369" i="11"/>
  <c r="O369" i="11"/>
  <c r="Q368" i="11"/>
  <c r="O368" i="11"/>
  <c r="Q367" i="11"/>
  <c r="O367" i="11"/>
  <c r="Q366" i="11"/>
  <c r="O366" i="11"/>
  <c r="Q365" i="11"/>
  <c r="O365" i="11"/>
  <c r="Q364" i="11"/>
  <c r="O364" i="11"/>
  <c r="Q363" i="11"/>
  <c r="O363" i="11"/>
  <c r="Q362" i="11"/>
  <c r="O362" i="11"/>
  <c r="Q361" i="11"/>
  <c r="O361" i="11"/>
  <c r="Q360" i="11"/>
  <c r="O360" i="11"/>
  <c r="Q359" i="11"/>
  <c r="O359" i="11"/>
  <c r="Q358" i="11"/>
  <c r="O358" i="11"/>
  <c r="Q357" i="11"/>
  <c r="O357" i="11"/>
  <c r="Q356" i="11"/>
  <c r="O356" i="11"/>
  <c r="Q355" i="11"/>
  <c r="O355" i="11"/>
  <c r="Q354" i="11"/>
  <c r="O354" i="11"/>
  <c r="Q353" i="11"/>
  <c r="O353" i="11"/>
  <c r="Q352" i="11"/>
  <c r="O352" i="11"/>
  <c r="Q351" i="11"/>
  <c r="O351" i="11"/>
  <c r="Q350" i="11"/>
  <c r="O350" i="11"/>
  <c r="Q349" i="11"/>
  <c r="O349" i="11"/>
  <c r="Q348" i="11"/>
  <c r="O348" i="11"/>
  <c r="Q347" i="11"/>
  <c r="O347" i="11"/>
  <c r="Q346" i="11"/>
  <c r="O346" i="11"/>
  <c r="Q345" i="11"/>
  <c r="O345" i="11"/>
  <c r="Q344" i="11"/>
  <c r="O344" i="11"/>
  <c r="Q343" i="11"/>
  <c r="O343" i="11"/>
  <c r="Q342" i="11"/>
  <c r="O342" i="11"/>
  <c r="Q341" i="11"/>
  <c r="O341" i="11"/>
  <c r="Q340" i="11"/>
  <c r="O340" i="11"/>
  <c r="Q339" i="11"/>
  <c r="O339" i="11"/>
  <c r="Q338" i="11"/>
  <c r="O338" i="11"/>
  <c r="Q337" i="11"/>
  <c r="O337" i="11"/>
  <c r="Q336" i="11"/>
  <c r="O336" i="11"/>
  <c r="Q335" i="11"/>
  <c r="O335" i="11"/>
  <c r="Q334" i="11"/>
  <c r="O334" i="11"/>
  <c r="Q333" i="11"/>
  <c r="O333" i="11"/>
  <c r="Q332" i="11"/>
  <c r="O332" i="11"/>
  <c r="Q331" i="11"/>
  <c r="O331" i="11"/>
  <c r="Q330" i="11"/>
  <c r="O330" i="11"/>
  <c r="Q329" i="11"/>
  <c r="O329" i="11"/>
  <c r="Q328" i="11"/>
  <c r="O328" i="11"/>
  <c r="Q327" i="11"/>
  <c r="O327" i="11"/>
  <c r="Q312" i="11"/>
  <c r="O312" i="11"/>
  <c r="Q311" i="11"/>
  <c r="O311" i="11"/>
  <c r="Q310" i="11"/>
  <c r="O310" i="11"/>
  <c r="O309" i="11"/>
  <c r="O308" i="11"/>
  <c r="O307" i="11"/>
  <c r="O306" i="11"/>
  <c r="O305" i="11"/>
  <c r="O304" i="11"/>
  <c r="O303" i="11"/>
  <c r="O302" i="11"/>
  <c r="O301" i="11"/>
  <c r="O300" i="11"/>
  <c r="O299" i="11"/>
  <c r="O298" i="11"/>
  <c r="O297" i="11"/>
  <c r="O296" i="11"/>
  <c r="O295" i="11"/>
  <c r="O294" i="11"/>
  <c r="O293" i="11"/>
  <c r="O292" i="11"/>
  <c r="O291" i="11"/>
  <c r="O290" i="11"/>
  <c r="Q289" i="11"/>
  <c r="O289" i="11"/>
  <c r="Q288" i="11"/>
  <c r="O288" i="11"/>
  <c r="Q287" i="11"/>
  <c r="Q286" i="11"/>
  <c r="O286" i="11"/>
  <c r="Q285" i="11"/>
  <c r="O285" i="11"/>
  <c r="O284" i="11"/>
  <c r="O283" i="11"/>
  <c r="O282" i="11"/>
  <c r="O281" i="11"/>
  <c r="O280" i="11"/>
  <c r="T279" i="11"/>
  <c r="T278" i="11"/>
  <c r="T277" i="11"/>
  <c r="T276" i="11"/>
  <c r="T275" i="11"/>
  <c r="T274" i="11"/>
  <c r="T273" i="11"/>
  <c r="T272" i="11"/>
  <c r="T271" i="11"/>
  <c r="T270" i="11"/>
  <c r="T269" i="11"/>
  <c r="T268" i="11"/>
  <c r="T267" i="11"/>
  <c r="T266" i="11"/>
  <c r="T265" i="11"/>
  <c r="T264" i="11"/>
  <c r="T263" i="11"/>
  <c r="T262" i="11"/>
  <c r="T261" i="11"/>
  <c r="T260" i="11"/>
  <c r="O259" i="11"/>
  <c r="O258" i="11"/>
  <c r="O257" i="11"/>
  <c r="O256" i="11"/>
  <c r="O255" i="11"/>
  <c r="O254" i="11"/>
  <c r="O253" i="11"/>
  <c r="O252" i="11"/>
  <c r="O251" i="11"/>
  <c r="Q250" i="11"/>
  <c r="O250" i="11"/>
  <c r="Q249" i="11"/>
  <c r="O249" i="11"/>
  <c r="Q248" i="11"/>
  <c r="AE247" i="11"/>
  <c r="Q247" i="11"/>
  <c r="O247" i="11"/>
  <c r="Q246" i="11"/>
  <c r="O246" i="11"/>
  <c r="O245" i="11"/>
  <c r="Q244" i="11"/>
  <c r="Q243" i="11"/>
  <c r="O243" i="11"/>
  <c r="Q242" i="11"/>
  <c r="O242" i="11"/>
  <c r="Q241" i="11"/>
  <c r="Q240" i="11"/>
  <c r="Q239" i="11"/>
  <c r="O239" i="11"/>
  <c r="O238" i="11"/>
  <c r="Q237" i="11"/>
  <c r="Q236" i="11"/>
  <c r="Q235" i="11"/>
  <c r="Q234" i="11"/>
  <c r="O234" i="11"/>
  <c r="O233" i="11"/>
  <c r="Q232" i="11"/>
  <c r="O232" i="11"/>
  <c r="Q231" i="11"/>
  <c r="O231" i="11"/>
  <c r="Q230" i="11"/>
  <c r="Q229" i="11"/>
  <c r="Q228" i="11"/>
  <c r="O228" i="11"/>
  <c r="O227" i="11"/>
  <c r="Q226" i="11"/>
  <c r="O226" i="11"/>
  <c r="Q225" i="11"/>
  <c r="O225" i="11"/>
  <c r="Q224" i="11"/>
  <c r="O224" i="11"/>
  <c r="Q223" i="11"/>
  <c r="O223" i="11"/>
  <c r="Q222" i="11"/>
  <c r="O222" i="11"/>
  <c r="Q221" i="11"/>
  <c r="O221" i="11"/>
  <c r="Q220" i="11"/>
  <c r="O220" i="11"/>
  <c r="Q219" i="11"/>
  <c r="Q218" i="11"/>
  <c r="O218" i="11"/>
  <c r="Q217" i="11"/>
  <c r="O216" i="11"/>
  <c r="O215" i="11"/>
  <c r="Q214" i="11"/>
  <c r="Q213" i="11"/>
  <c r="O212" i="11"/>
  <c r="O211" i="11"/>
  <c r="Q210" i="11"/>
  <c r="AD209" i="11"/>
  <c r="O209" i="11"/>
  <c r="Q208" i="11"/>
  <c r="Q207" i="11"/>
  <c r="P206" i="11"/>
  <c r="L206" i="11" s="1"/>
  <c r="AD205" i="11"/>
  <c r="O205" i="11"/>
  <c r="O204" i="11"/>
  <c r="Q203" i="11"/>
  <c r="Q202" i="11"/>
  <c r="Q201" i="11"/>
  <c r="P200" i="11"/>
  <c r="L200" i="11" s="1"/>
  <c r="AD199" i="11"/>
  <c r="O199" i="11"/>
  <c r="O198" i="11"/>
  <c r="AD197" i="11"/>
  <c r="O197" i="11"/>
  <c r="P196" i="11"/>
  <c r="L196" i="11" s="1"/>
  <c r="P195" i="11"/>
  <c r="L195" i="11" s="1"/>
  <c r="Q194" i="11"/>
  <c r="Q193" i="11"/>
  <c r="Q192" i="11"/>
  <c r="Q191" i="11"/>
  <c r="Q190" i="11"/>
  <c r="Q189" i="11"/>
  <c r="Q188" i="11"/>
  <c r="Q187" i="11"/>
  <c r="Q186" i="11"/>
  <c r="Q185" i="11"/>
  <c r="Q184" i="11"/>
  <c r="Q183" i="11"/>
  <c r="Q182" i="11"/>
  <c r="Q181" i="11"/>
  <c r="Q180" i="11"/>
  <c r="Q179" i="11"/>
  <c r="Q178" i="11"/>
  <c r="Q177" i="11"/>
  <c r="Q176" i="11"/>
  <c r="Q175" i="11"/>
  <c r="Q174" i="11"/>
  <c r="Q173" i="11"/>
  <c r="Q148" i="11"/>
  <c r="Q147" i="11"/>
  <c r="Q146" i="11"/>
  <c r="Q145" i="11"/>
  <c r="Q144" i="11"/>
  <c r="Q143" i="11"/>
  <c r="Q142" i="11"/>
  <c r="Q141" i="11"/>
  <c r="Q140" i="11"/>
  <c r="Q139" i="11"/>
  <c r="Q138" i="11"/>
  <c r="Q137" i="11"/>
  <c r="Q136" i="11"/>
  <c r="Q135" i="11"/>
  <c r="Q134" i="11"/>
  <c r="Q133" i="11"/>
  <c r="Q132" i="11"/>
  <c r="Q131" i="11"/>
  <c r="Q130" i="11"/>
  <c r="Q128" i="11"/>
  <c r="Q127" i="11"/>
  <c r="Q126" i="11"/>
  <c r="Q125" i="11"/>
  <c r="Q124" i="11"/>
  <c r="Q123" i="11"/>
  <c r="Q122" i="11"/>
  <c r="Q121" i="11"/>
  <c r="Q120" i="11"/>
  <c r="Q119" i="11"/>
  <c r="Q118" i="11"/>
  <c r="Q117" i="11"/>
  <c r="Q116" i="11"/>
  <c r="Q115" i="11"/>
  <c r="Q114" i="11"/>
  <c r="Q113" i="11"/>
  <c r="Q112" i="11"/>
  <c r="Q111" i="11"/>
  <c r="Q110" i="11"/>
  <c r="Q109" i="11"/>
  <c r="Q108" i="11"/>
  <c r="Q107" i="11"/>
  <c r="Q106" i="11"/>
  <c r="Q105" i="11"/>
  <c r="Q104" i="11"/>
  <c r="Q103" i="11"/>
  <c r="Q102" i="11"/>
  <c r="Q101" i="11"/>
  <c r="Q100" i="11"/>
  <c r="Q99" i="11"/>
  <c r="Q98" i="11"/>
  <c r="Q97" i="11"/>
  <c r="Q96" i="11"/>
  <c r="Q95" i="11"/>
  <c r="Q94" i="11"/>
  <c r="O94" i="11"/>
  <c r="Q93" i="11"/>
  <c r="O93" i="11"/>
  <c r="Q92" i="11"/>
  <c r="O92" i="11"/>
  <c r="Q91" i="11"/>
  <c r="O91" i="11"/>
  <c r="P90" i="11"/>
  <c r="O90" i="11"/>
  <c r="P89" i="11"/>
  <c r="O89" i="11"/>
  <c r="P88" i="11"/>
  <c r="O88" i="11"/>
  <c r="Q87" i="11"/>
  <c r="O87" i="11"/>
  <c r="Q86" i="11"/>
  <c r="O86" i="11"/>
  <c r="Q85" i="11"/>
  <c r="O85" i="11"/>
  <c r="Q84" i="11"/>
  <c r="O84" i="11"/>
  <c r="Q83" i="11"/>
  <c r="O83" i="11"/>
  <c r="Q82" i="11"/>
  <c r="O82" i="11"/>
  <c r="Q81" i="11"/>
  <c r="O81" i="11"/>
  <c r="Q80" i="11"/>
  <c r="O80" i="11"/>
  <c r="Q79" i="11"/>
  <c r="O79" i="11"/>
  <c r="Q78" i="11"/>
  <c r="O78" i="11"/>
  <c r="Q77" i="11"/>
  <c r="O77" i="11"/>
  <c r="Q76" i="11"/>
  <c r="O76" i="11"/>
  <c r="Q75" i="11"/>
  <c r="O75" i="11"/>
  <c r="Q74" i="11"/>
  <c r="O74" i="11"/>
  <c r="Q73" i="11"/>
  <c r="Q72" i="11"/>
  <c r="Q71" i="11"/>
  <c r="Q70" i="11"/>
  <c r="Q69" i="11"/>
  <c r="N69" i="11"/>
  <c r="L69" i="11" s="1"/>
  <c r="Q68" i="11"/>
  <c r="O68" i="11"/>
  <c r="Q67" i="11"/>
  <c r="N67" i="11"/>
  <c r="L67" i="11" s="1"/>
  <c r="Q66" i="11"/>
  <c r="N66" i="11"/>
  <c r="AF65" i="11"/>
  <c r="T65" i="11"/>
  <c r="AF64" i="11"/>
  <c r="T64" i="11"/>
  <c r="AF63" i="11"/>
  <c r="T63" i="11"/>
  <c r="AF62" i="11"/>
  <c r="T62" i="11"/>
  <c r="AF61" i="11"/>
  <c r="T61" i="11"/>
  <c r="AD60" i="11"/>
  <c r="T60" i="11"/>
  <c r="AD59" i="11"/>
  <c r="T59" i="11"/>
  <c r="AD58" i="11"/>
  <c r="T58" i="11"/>
  <c r="AD57" i="11"/>
  <c r="T57" i="11"/>
  <c r="AD56" i="11"/>
  <c r="T56" i="11"/>
  <c r="AD55" i="11"/>
  <c r="T55" i="11"/>
  <c r="AD54" i="11"/>
  <c r="T54" i="11"/>
  <c r="AD53" i="11"/>
  <c r="T53" i="11"/>
  <c r="AD52" i="11"/>
  <c r="T52" i="11"/>
  <c r="Q51" i="11"/>
  <c r="O51" i="11"/>
  <c r="Q50" i="11"/>
  <c r="O50" i="11"/>
  <c r="Q49" i="11"/>
  <c r="O49" i="11"/>
  <c r="Q48" i="11"/>
  <c r="O48" i="11"/>
  <c r="Q47" i="11"/>
  <c r="O47" i="11"/>
  <c r="AB46" i="11"/>
  <c r="T46" i="11"/>
  <c r="AB45" i="11"/>
  <c r="T45" i="11"/>
  <c r="AB44" i="11"/>
  <c r="T44" i="11"/>
  <c r="O44" i="11"/>
  <c r="AB43" i="11"/>
  <c r="T43" i="11"/>
  <c r="AB42" i="11"/>
  <c r="T42" i="11"/>
  <c r="Q41" i="11"/>
  <c r="O41" i="11"/>
  <c r="Q40" i="11"/>
  <c r="O40" i="11"/>
  <c r="Q39" i="11"/>
  <c r="O39" i="11"/>
  <c r="Q38" i="11"/>
  <c r="O38" i="11"/>
  <c r="Q37" i="11"/>
  <c r="O37" i="11"/>
  <c r="Q36" i="11"/>
  <c r="O36" i="11"/>
  <c r="Q35" i="11"/>
  <c r="O35" i="11"/>
  <c r="Q34" i="11"/>
  <c r="O34" i="11"/>
  <c r="Q33" i="11"/>
  <c r="O33" i="11"/>
  <c r="Q32" i="11"/>
  <c r="O32" i="11"/>
  <c r="Q30" i="11"/>
  <c r="O30" i="11"/>
  <c r="Q29" i="11"/>
  <c r="O29" i="11"/>
  <c r="Q28" i="11"/>
  <c r="O28" i="11"/>
  <c r="Q27" i="11"/>
  <c r="O27" i="11"/>
  <c r="Q26" i="11"/>
  <c r="O26" i="11"/>
  <c r="Q25" i="11"/>
  <c r="O25" i="11"/>
  <c r="Q24" i="11"/>
  <c r="O24" i="11"/>
  <c r="Q23" i="11"/>
  <c r="O23" i="11"/>
  <c r="Q22" i="11"/>
  <c r="O22" i="11"/>
  <c r="AG21" i="11"/>
  <c r="AG20" i="11"/>
  <c r="Q19" i="11"/>
  <c r="Q18" i="11"/>
  <c r="Q17" i="11"/>
  <c r="P16" i="11"/>
  <c r="L16" i="11" s="1"/>
  <c r="N15" i="11"/>
  <c r="L15" i="11" s="1"/>
  <c r="N14" i="11"/>
  <c r="L14" i="11" s="1"/>
  <c r="N13" i="11"/>
  <c r="L13" i="11" s="1"/>
  <c r="N12" i="11"/>
  <c r="L12" i="11" s="1"/>
  <c r="N11" i="11"/>
  <c r="L11" i="11" s="1"/>
  <c r="N10" i="11"/>
  <c r="L10" i="11" s="1"/>
  <c r="N9" i="11"/>
  <c r="L9" i="11" s="1"/>
  <c r="N8" i="11"/>
  <c r="L8" i="11" s="1"/>
  <c r="N7" i="11"/>
  <c r="L7" i="11" s="1"/>
  <c r="N6" i="11"/>
  <c r="L6" i="11" s="1"/>
  <c r="N5" i="11"/>
  <c r="L5" i="11" s="1"/>
  <c r="N4" i="11"/>
  <c r="L4" i="11" s="1"/>
  <c r="N3" i="11"/>
  <c r="L3" i="11" s="1"/>
  <c r="N2" i="11"/>
  <c r="L2" i="11" s="1"/>
  <c r="T123" i="9"/>
  <c r="T122" i="9"/>
  <c r="T121" i="9"/>
  <c r="Q123" i="9"/>
  <c r="Q122" i="9"/>
  <c r="Q121" i="9"/>
  <c r="T215" i="9"/>
  <c r="T214" i="9"/>
  <c r="T213" i="9"/>
  <c r="T212" i="9"/>
  <c r="T211" i="9"/>
  <c r="Q215" i="9"/>
  <c r="Q214" i="9"/>
  <c r="Q213" i="9"/>
  <c r="Q212" i="9"/>
  <c r="Q211" i="9"/>
  <c r="T207" i="9"/>
  <c r="T206" i="9"/>
  <c r="T205" i="9"/>
  <c r="T204" i="9"/>
  <c r="T203" i="9"/>
  <c r="Q207" i="9"/>
  <c r="Q206" i="9"/>
  <c r="Q205" i="9"/>
  <c r="Q204" i="9"/>
  <c r="Q203" i="9"/>
  <c r="T199" i="9"/>
  <c r="Q199" i="9"/>
  <c r="T198" i="9"/>
  <c r="Q198" i="9"/>
  <c r="T197" i="9"/>
  <c r="Q197" i="9"/>
  <c r="T196" i="9"/>
  <c r="Q196" i="9"/>
  <c r="T195" i="9"/>
  <c r="Q195" i="9"/>
  <c r="T174" i="9"/>
  <c r="Q174" i="9"/>
  <c r="T173" i="9"/>
  <c r="Q173" i="9"/>
  <c r="T172" i="9"/>
  <c r="Q172" i="9"/>
  <c r="T171" i="9"/>
  <c r="Q171" i="9"/>
  <c r="T170" i="9"/>
  <c r="Q170" i="9"/>
  <c r="T166" i="9"/>
  <c r="Q166" i="9"/>
  <c r="T165" i="9"/>
  <c r="Q165" i="9"/>
  <c r="T164" i="9"/>
  <c r="Q164" i="9"/>
  <c r="T163" i="9"/>
  <c r="Q163" i="9"/>
  <c r="T162" i="9"/>
  <c r="Q162" i="9"/>
  <c r="T103" i="9"/>
  <c r="T102" i="9"/>
  <c r="T101" i="9"/>
  <c r="T100" i="9"/>
  <c r="T99" i="9"/>
  <c r="Q103" i="9"/>
  <c r="Q102" i="9"/>
  <c r="Q101" i="9"/>
  <c r="Q100" i="9"/>
  <c r="Q99" i="9"/>
  <c r="T79" i="9"/>
  <c r="T78" i="9"/>
  <c r="T77" i="9"/>
  <c r="T76" i="9"/>
  <c r="T75" i="9"/>
  <c r="Q79" i="9"/>
  <c r="Q78" i="9"/>
  <c r="Q77" i="9"/>
  <c r="Q76" i="9"/>
  <c r="Q75" i="9"/>
  <c r="T71" i="9"/>
  <c r="T70" i="9"/>
  <c r="T69" i="9"/>
  <c r="T68" i="9"/>
  <c r="T67" i="9"/>
  <c r="Q71" i="9"/>
  <c r="Q70" i="9"/>
  <c r="Q69" i="9"/>
  <c r="Q68" i="9"/>
  <c r="Q67" i="9"/>
  <c r="T46" i="9"/>
  <c r="T45" i="9"/>
  <c r="T44" i="9"/>
  <c r="T43" i="9"/>
  <c r="T42" i="9"/>
  <c r="Q46" i="9"/>
  <c r="Q45" i="9"/>
  <c r="Q44" i="9"/>
  <c r="Q43" i="9"/>
  <c r="Q42" i="9"/>
  <c r="L195" i="9"/>
  <c r="G99" i="2"/>
  <c r="G98" i="2"/>
  <c r="G97" i="2"/>
  <c r="G96" i="2"/>
  <c r="G95" i="2"/>
  <c r="G100" i="2"/>
  <c r="E102" i="2"/>
  <c r="E101" i="2"/>
  <c r="G101" i="2" s="1"/>
  <c r="Q58" i="11" l="1"/>
  <c r="M58" i="11"/>
  <c r="K58" i="11" s="1"/>
  <c r="Q90" i="11"/>
  <c r="L90" i="11"/>
  <c r="J195" i="11"/>
  <c r="M195" i="11"/>
  <c r="K195" i="11" s="1"/>
  <c r="Q53" i="11"/>
  <c r="M53" i="11"/>
  <c r="K53" i="11" s="1"/>
  <c r="Q59" i="11"/>
  <c r="M59" i="11"/>
  <c r="K59" i="11" s="1"/>
  <c r="Q65" i="11"/>
  <c r="M65" i="11"/>
  <c r="K65" i="11" s="1"/>
  <c r="M196" i="11"/>
  <c r="K196" i="11" s="1"/>
  <c r="J196" i="11"/>
  <c r="Q45" i="11"/>
  <c r="M45" i="11"/>
  <c r="K45" i="11" s="1"/>
  <c r="Q57" i="11"/>
  <c r="M57" i="11"/>
  <c r="K57" i="11" s="1"/>
  <c r="Q64" i="11"/>
  <c r="M64" i="11"/>
  <c r="K64" i="11" s="1"/>
  <c r="Q42" i="11"/>
  <c r="M42" i="11"/>
  <c r="K42" i="11" s="1"/>
  <c r="O66" i="11"/>
  <c r="L66" i="11"/>
  <c r="J67" i="11"/>
  <c r="M67" i="11"/>
  <c r="K67" i="11" s="1"/>
  <c r="Q60" i="11"/>
  <c r="M60" i="11"/>
  <c r="K60" i="11" s="1"/>
  <c r="Q43" i="11"/>
  <c r="M43" i="11"/>
  <c r="K43" i="11" s="1"/>
  <c r="Q63" i="11"/>
  <c r="M63" i="11"/>
  <c r="K63" i="11" s="1"/>
  <c r="Q46" i="11"/>
  <c r="M46" i="11"/>
  <c r="K46" i="11" s="1"/>
  <c r="Q55" i="11"/>
  <c r="M55" i="11"/>
  <c r="K55" i="11" s="1"/>
  <c r="Q44" i="11"/>
  <c r="M44" i="11"/>
  <c r="K44" i="11" s="1"/>
  <c r="Q89" i="11"/>
  <c r="L89" i="11"/>
  <c r="Q52" i="11"/>
  <c r="M52" i="11"/>
  <c r="K52" i="11" s="1"/>
  <c r="Q54" i="11"/>
  <c r="M54" i="11"/>
  <c r="K54" i="11" s="1"/>
  <c r="Q61" i="11"/>
  <c r="M61" i="11"/>
  <c r="K61" i="11" s="1"/>
  <c r="Q56" i="11"/>
  <c r="M56" i="11"/>
  <c r="K56" i="11" s="1"/>
  <c r="Q62" i="11"/>
  <c r="M62" i="11"/>
  <c r="K62" i="11" s="1"/>
  <c r="Q88" i="11"/>
  <c r="L88" i="11"/>
  <c r="M10" i="11"/>
  <c r="K10" i="11" s="1"/>
  <c r="J10" i="11"/>
  <c r="O267" i="11"/>
  <c r="M267" i="11"/>
  <c r="K267" i="11" s="1"/>
  <c r="O279" i="11"/>
  <c r="M279" i="11"/>
  <c r="K279" i="11" s="1"/>
  <c r="J7" i="11"/>
  <c r="M7" i="11"/>
  <c r="K7" i="11" s="1"/>
  <c r="M69" i="11"/>
  <c r="K69" i="11" s="1"/>
  <c r="J69" i="11"/>
  <c r="O260" i="11"/>
  <c r="M260" i="11"/>
  <c r="K260" i="11" s="1"/>
  <c r="O264" i="11"/>
  <c r="M264" i="11"/>
  <c r="K264" i="11" s="1"/>
  <c r="O268" i="11"/>
  <c r="M268" i="11"/>
  <c r="K268" i="11" s="1"/>
  <c r="O272" i="11"/>
  <c r="M272" i="11"/>
  <c r="K272" i="11" s="1"/>
  <c r="O276" i="11"/>
  <c r="M276" i="11"/>
  <c r="K276" i="11" s="1"/>
  <c r="J6" i="11"/>
  <c r="M6" i="11"/>
  <c r="K6" i="11" s="1"/>
  <c r="O263" i="11"/>
  <c r="M263" i="11"/>
  <c r="K263" i="11" s="1"/>
  <c r="O275" i="11"/>
  <c r="M275" i="11"/>
  <c r="K275" i="11" s="1"/>
  <c r="M11" i="11"/>
  <c r="K11" i="11" s="1"/>
  <c r="J11" i="11"/>
  <c r="J4" i="11"/>
  <c r="M4" i="11"/>
  <c r="K4" i="11" s="1"/>
  <c r="J8" i="11"/>
  <c r="M8" i="11"/>
  <c r="K8" i="11" s="1"/>
  <c r="J12" i="11"/>
  <c r="M12" i="11"/>
  <c r="K12" i="11" s="1"/>
  <c r="J16" i="11"/>
  <c r="M16" i="11"/>
  <c r="K16" i="11" s="1"/>
  <c r="M206" i="11"/>
  <c r="K206" i="11" s="1"/>
  <c r="J206" i="11"/>
  <c r="O261" i="11"/>
  <c r="M261" i="11"/>
  <c r="K261" i="11" s="1"/>
  <c r="O265" i="11"/>
  <c r="M265" i="11"/>
  <c r="K265" i="11" s="1"/>
  <c r="O269" i="11"/>
  <c r="M269" i="11"/>
  <c r="K269" i="11" s="1"/>
  <c r="O273" i="11"/>
  <c r="M273" i="11"/>
  <c r="K273" i="11" s="1"/>
  <c r="O277" i="11"/>
  <c r="M277" i="11"/>
  <c r="K277" i="11" s="1"/>
  <c r="M2" i="11"/>
  <c r="K2" i="11" s="1"/>
  <c r="J2" i="11"/>
  <c r="M14" i="11"/>
  <c r="K14" i="11" s="1"/>
  <c r="J14" i="11"/>
  <c r="O271" i="11"/>
  <c r="M271" i="11"/>
  <c r="K271" i="11" s="1"/>
  <c r="J3" i="11"/>
  <c r="M3" i="11"/>
  <c r="K3" i="11" s="1"/>
  <c r="J15" i="11"/>
  <c r="M15" i="11"/>
  <c r="K15" i="11" s="1"/>
  <c r="M5" i="11"/>
  <c r="K5" i="11" s="1"/>
  <c r="J5" i="11"/>
  <c r="J9" i="11"/>
  <c r="M9" i="11"/>
  <c r="K9" i="11" s="1"/>
  <c r="J13" i="11"/>
  <c r="M13" i="11"/>
  <c r="K13" i="11" s="1"/>
  <c r="M200" i="11"/>
  <c r="K200" i="11" s="1"/>
  <c r="J200" i="11"/>
  <c r="O262" i="11"/>
  <c r="M262" i="11"/>
  <c r="K262" i="11" s="1"/>
  <c r="O266" i="11"/>
  <c r="M266" i="11"/>
  <c r="K266" i="11" s="1"/>
  <c r="O270" i="11"/>
  <c r="M270" i="11"/>
  <c r="K270" i="11" s="1"/>
  <c r="O274" i="11"/>
  <c r="M274" i="11"/>
  <c r="K274" i="11" s="1"/>
  <c r="O278" i="11"/>
  <c r="M278" i="11"/>
  <c r="K278" i="11" s="1"/>
  <c r="O42" i="11"/>
  <c r="O43" i="11"/>
  <c r="O46" i="11"/>
  <c r="O67" i="11"/>
  <c r="Q195" i="11"/>
  <c r="Q196" i="11"/>
  <c r="O45" i="11"/>
  <c r="O52" i="11"/>
  <c r="O53" i="11"/>
  <c r="O54" i="11"/>
  <c r="O55" i="11"/>
  <c r="O56" i="11"/>
  <c r="O57" i="11"/>
  <c r="O58" i="11"/>
  <c r="O59" i="11"/>
  <c r="O60" i="11"/>
  <c r="O61" i="11"/>
  <c r="O62" i="11"/>
  <c r="O63" i="11"/>
  <c r="O64" i="11"/>
  <c r="O65" i="11"/>
  <c r="C68" i="2"/>
  <c r="D68" i="2" s="1"/>
  <c r="C65" i="2"/>
  <c r="D65" i="2" s="1"/>
  <c r="G79" i="2"/>
  <c r="G78" i="2"/>
  <c r="G77" i="2"/>
  <c r="G76" i="2"/>
  <c r="G75" i="2"/>
  <c r="G74" i="2"/>
  <c r="E80" i="2"/>
  <c r="G80" i="2" s="1"/>
  <c r="E81" i="2"/>
  <c r="G81" i="2" s="1"/>
  <c r="M66" i="11" l="1"/>
  <c r="K66" i="11" s="1"/>
  <c r="J66" i="11"/>
  <c r="M88" i="11"/>
  <c r="K88" i="11" s="1"/>
  <c r="J88" i="11"/>
  <c r="M89" i="11"/>
  <c r="K89" i="11" s="1"/>
  <c r="J89" i="11"/>
  <c r="M90" i="11"/>
  <c r="K90" i="11" s="1"/>
  <c r="J90" i="11"/>
  <c r="G86" i="2"/>
  <c r="G85" i="2"/>
  <c r="G83" i="2"/>
  <c r="G84" i="2"/>
  <c r="C101" i="9"/>
  <c r="C102" i="9"/>
  <c r="C100" i="9"/>
  <c r="F99" i="9"/>
  <c r="G99" i="9"/>
  <c r="H99" i="9"/>
  <c r="I99" i="9"/>
  <c r="J99" i="9"/>
  <c r="K99" i="9"/>
  <c r="L99" i="9"/>
  <c r="M99" i="9"/>
  <c r="N99" i="9"/>
  <c r="E99" i="9"/>
  <c r="G127" i="9"/>
  <c r="H127" i="9"/>
  <c r="H128" i="9"/>
  <c r="G128" i="9"/>
  <c r="E128" i="9"/>
  <c r="M127" i="9"/>
  <c r="K126" i="9" l="1" a="1"/>
  <c r="K126" i="9" s="1"/>
  <c r="L126" i="9" a="1"/>
  <c r="L126" i="9" s="1"/>
  <c r="J126" i="9" a="1"/>
  <c r="J126" i="9" s="1"/>
  <c r="N126" i="9" a="1"/>
  <c r="N126" i="9" s="1"/>
  <c r="F126" i="9" a="1"/>
  <c r="F126" i="9" s="1"/>
  <c r="I126" i="9" a="1"/>
  <c r="I126" i="9" s="1"/>
  <c r="K100" i="9"/>
  <c r="K101" i="9"/>
  <c r="L101" i="9"/>
  <c r="H101" i="9"/>
  <c r="K102" i="9"/>
  <c r="C87" i="2"/>
  <c r="C89" i="2" s="1"/>
  <c r="E101" i="9"/>
  <c r="M128" i="9"/>
  <c r="G101" i="9"/>
  <c r="N101" i="9"/>
  <c r="J101" i="9"/>
  <c r="F101" i="9"/>
  <c r="K128" i="9"/>
  <c r="I101" i="9"/>
  <c r="K127" i="9"/>
  <c r="F127" i="9"/>
  <c r="I128" i="9"/>
  <c r="E127" i="9"/>
  <c r="J127" i="9"/>
  <c r="N127" i="9"/>
  <c r="I127" i="9"/>
  <c r="G102" i="9"/>
  <c r="L127" i="9"/>
  <c r="N128" i="9"/>
  <c r="J128" i="9"/>
  <c r="F128" i="9"/>
  <c r="G126" i="9" a="1"/>
  <c r="G126" i="9" s="1"/>
  <c r="G130" i="9" s="1"/>
  <c r="E102" i="9"/>
  <c r="M126" i="9" a="1"/>
  <c r="M126" i="9" s="1"/>
  <c r="L128" i="9"/>
  <c r="M102" i="9"/>
  <c r="I102" i="9"/>
  <c r="H100" i="9"/>
  <c r="M101" i="9"/>
  <c r="G100" i="9"/>
  <c r="H102" i="9"/>
  <c r="E126" i="9" a="1"/>
  <c r="E126" i="9" s="1"/>
  <c r="H126" i="9" a="1"/>
  <c r="H126" i="9" s="1"/>
  <c r="H131" i="9" s="1"/>
  <c r="N102" i="9"/>
  <c r="J102" i="9"/>
  <c r="F102" i="9"/>
  <c r="N100" i="9"/>
  <c r="J100" i="9"/>
  <c r="F100" i="9"/>
  <c r="M100" i="9"/>
  <c r="I100" i="9"/>
  <c r="E100" i="9"/>
  <c r="L102" i="9"/>
  <c r="L100" i="9"/>
  <c r="G103" i="9" l="1"/>
  <c r="G104" i="9" s="1"/>
  <c r="F103" i="9"/>
  <c r="F104" i="9" s="1"/>
  <c r="I103" i="9"/>
  <c r="I104" i="9" s="1"/>
  <c r="N103" i="9"/>
  <c r="N104" i="9" s="1"/>
  <c r="E103" i="9"/>
  <c r="E104" i="9" s="1"/>
  <c r="J103" i="9"/>
  <c r="J104" i="9" s="1"/>
  <c r="L103" i="9"/>
  <c r="L104" i="9" s="1"/>
  <c r="M103" i="9"/>
  <c r="M104" i="9" s="1"/>
  <c r="H103" i="9"/>
  <c r="H104" i="9" s="1"/>
  <c r="K103" i="9"/>
  <c r="K104" i="9" s="1"/>
  <c r="N130" i="9"/>
  <c r="G131" i="9"/>
  <c r="M130" i="9"/>
  <c r="I130" i="9"/>
  <c r="I132" i="9"/>
  <c r="C88" i="2"/>
  <c r="M132" i="9"/>
  <c r="L132" i="9"/>
  <c r="K132" i="9"/>
  <c r="K130" i="9"/>
  <c r="K131" i="9"/>
  <c r="G132" i="9"/>
  <c r="J131" i="9"/>
  <c r="F131" i="9"/>
  <c r="I131" i="9"/>
  <c r="E131" i="9"/>
  <c r="F130" i="9"/>
  <c r="F132" i="9"/>
  <c r="L131" i="9"/>
  <c r="J132" i="9"/>
  <c r="H130" i="9"/>
  <c r="N132" i="9"/>
  <c r="M131" i="9"/>
  <c r="J130" i="9"/>
  <c r="N131" i="9"/>
  <c r="L130" i="9"/>
  <c r="H132" i="9"/>
  <c r="E132" i="9"/>
  <c r="E130" i="9"/>
  <c r="I135" i="9" l="1"/>
  <c r="I136" i="9" s="1"/>
  <c r="J135" i="9"/>
  <c r="J136" i="9" s="1"/>
  <c r="M135" i="9"/>
  <c r="M136" i="9" s="1"/>
  <c r="L135" i="9"/>
  <c r="L136" i="9" s="1"/>
  <c r="K135" i="9"/>
  <c r="K136" i="9" s="1"/>
  <c r="G135" i="9"/>
  <c r="G136" i="9" s="1"/>
  <c r="E135" i="9"/>
  <c r="E136" i="9" s="1"/>
  <c r="N135" i="9"/>
  <c r="N136" i="9" s="1"/>
  <c r="F135" i="9"/>
  <c r="F136" i="9" s="1"/>
  <c r="H135" i="9"/>
  <c r="H136" i="9" s="1"/>
  <c r="S101" i="9"/>
  <c r="R101" i="9"/>
  <c r="V101" i="9"/>
  <c r="U101" i="9"/>
  <c r="S100" i="9"/>
  <c r="R100" i="9"/>
  <c r="R102" i="9"/>
  <c r="V103" i="9"/>
  <c r="U103" i="9"/>
  <c r="V100" i="9"/>
  <c r="U100" i="9"/>
  <c r="S99" i="9"/>
  <c r="R99" i="9"/>
  <c r="V99" i="9"/>
  <c r="U99" i="9"/>
  <c r="R103" i="9"/>
  <c r="V102" i="9"/>
  <c r="U102" i="9"/>
  <c r="G133" i="9"/>
  <c r="L133" i="9"/>
  <c r="M133" i="9"/>
  <c r="F133" i="9"/>
  <c r="H133" i="9"/>
  <c r="I133" i="9"/>
  <c r="K133" i="9"/>
  <c r="N133" i="9"/>
  <c r="J133" i="9"/>
  <c r="E133" i="9"/>
  <c r="R121" i="9" l="1"/>
  <c r="S103" i="9"/>
  <c r="S102" i="9"/>
  <c r="F170" i="9"/>
  <c r="G170" i="9"/>
  <c r="H170" i="9"/>
  <c r="I170" i="9"/>
  <c r="J170" i="9"/>
  <c r="K170" i="9"/>
  <c r="L170" i="9"/>
  <c r="M170" i="9"/>
  <c r="N170" i="9"/>
  <c r="E170" i="9"/>
  <c r="F162" i="9"/>
  <c r="G162" i="9"/>
  <c r="H162" i="9"/>
  <c r="I162" i="9"/>
  <c r="J162" i="9"/>
  <c r="K162" i="9"/>
  <c r="L162" i="9"/>
  <c r="M162" i="9"/>
  <c r="N162" i="9"/>
  <c r="E162" i="9"/>
  <c r="F131" i="2"/>
  <c r="F132" i="2"/>
  <c r="F133" i="2"/>
  <c r="F134" i="2"/>
  <c r="F135" i="2"/>
  <c r="F136" i="2"/>
  <c r="F137" i="2"/>
  <c r="F138" i="2"/>
  <c r="F139" i="2"/>
  <c r="F130" i="2"/>
  <c r="F42" i="9"/>
  <c r="G42" i="9"/>
  <c r="H42" i="9"/>
  <c r="I42" i="9"/>
  <c r="J42" i="9"/>
  <c r="K42" i="9"/>
  <c r="L42" i="9"/>
  <c r="M42" i="9"/>
  <c r="N42" i="9"/>
  <c r="E42" i="9"/>
  <c r="C213" i="9"/>
  <c r="C214" i="9"/>
  <c r="C212" i="9"/>
  <c r="C205" i="9"/>
  <c r="C206" i="9"/>
  <c r="C204" i="9"/>
  <c r="C197" i="9"/>
  <c r="C198" i="9"/>
  <c r="C196" i="9"/>
  <c r="F195" i="9"/>
  <c r="F203" i="9"/>
  <c r="F211" i="9"/>
  <c r="G211" i="9"/>
  <c r="H211" i="9"/>
  <c r="I211" i="9"/>
  <c r="J211" i="9"/>
  <c r="K211" i="9"/>
  <c r="L211" i="9"/>
  <c r="M211" i="9"/>
  <c r="N211" i="9"/>
  <c r="E211" i="9"/>
  <c r="G203" i="9"/>
  <c r="H203" i="9"/>
  <c r="I203" i="9"/>
  <c r="J203" i="9"/>
  <c r="K203" i="9"/>
  <c r="L203" i="9"/>
  <c r="M203" i="9"/>
  <c r="N203" i="9"/>
  <c r="E203" i="9"/>
  <c r="G195" i="9"/>
  <c r="H195" i="9"/>
  <c r="I195" i="9"/>
  <c r="J195" i="9"/>
  <c r="K195" i="9"/>
  <c r="M195" i="9"/>
  <c r="N195" i="9"/>
  <c r="E195" i="9"/>
  <c r="C44" i="9"/>
  <c r="C45" i="9"/>
  <c r="C43" i="9"/>
  <c r="C77" i="9"/>
  <c r="C78" i="9"/>
  <c r="C76" i="9"/>
  <c r="F75" i="9"/>
  <c r="G75" i="9"/>
  <c r="H75" i="9"/>
  <c r="I75" i="9"/>
  <c r="J75" i="9"/>
  <c r="K75" i="9"/>
  <c r="L75" i="9"/>
  <c r="M75" i="9"/>
  <c r="N75" i="9"/>
  <c r="E75" i="9"/>
  <c r="F67" i="9"/>
  <c r="G67" i="9"/>
  <c r="H67" i="9"/>
  <c r="I67" i="9"/>
  <c r="J67" i="9"/>
  <c r="K67" i="9"/>
  <c r="L67" i="9"/>
  <c r="M67" i="9"/>
  <c r="N67" i="9"/>
  <c r="E67" i="9"/>
  <c r="K213" i="9" l="1"/>
  <c r="M212" i="9"/>
  <c r="L78" i="9"/>
  <c r="H68" i="9"/>
  <c r="M68" i="9"/>
  <c r="E68" i="9"/>
  <c r="K68" i="9"/>
  <c r="G68" i="9"/>
  <c r="I69" i="9"/>
  <c r="L68" i="9"/>
  <c r="N68" i="9"/>
  <c r="J68" i="9"/>
  <c r="F68" i="9"/>
  <c r="F197" i="9"/>
  <c r="L212" i="9"/>
  <c r="G43" i="9"/>
  <c r="E45" i="9"/>
  <c r="M44" i="9"/>
  <c r="F198" i="9"/>
  <c r="J45" i="9"/>
  <c r="L45" i="9"/>
  <c r="K77" i="9"/>
  <c r="K198" i="9"/>
  <c r="M43" i="9"/>
  <c r="J213" i="9"/>
  <c r="H213" i="9"/>
  <c r="G213" i="9"/>
  <c r="N45" i="9"/>
  <c r="N212" i="9"/>
  <c r="F212" i="9"/>
  <c r="J205" i="9"/>
  <c r="M205" i="9"/>
  <c r="G212" i="9"/>
  <c r="H45" i="9"/>
  <c r="J197" i="9"/>
  <c r="K45" i="9"/>
  <c r="E214" i="9"/>
  <c r="L43" i="9"/>
  <c r="G77" i="9"/>
  <c r="F45" i="9"/>
  <c r="G197" i="9"/>
  <c r="N70" i="9"/>
  <c r="H77" i="9"/>
  <c r="E197" i="9"/>
  <c r="I44" i="9"/>
  <c r="M77" i="9"/>
  <c r="N197" i="9"/>
  <c r="G70" i="9"/>
  <c r="E213" i="9"/>
  <c r="K78" i="9"/>
  <c r="J44" i="9"/>
  <c r="E78" i="9"/>
  <c r="E43" i="9"/>
  <c r="L44" i="9"/>
  <c r="E212" i="9"/>
  <c r="N77" i="9"/>
  <c r="F77" i="9"/>
  <c r="I198" i="9"/>
  <c r="K44" i="9"/>
  <c r="M45" i="9"/>
  <c r="E70" i="9"/>
  <c r="I213" i="9"/>
  <c r="H214" i="9"/>
  <c r="F70" i="9"/>
  <c r="J78" i="9"/>
  <c r="E44" i="9"/>
  <c r="G44" i="9"/>
  <c r="I45" i="9"/>
  <c r="F205" i="9"/>
  <c r="G214" i="9"/>
  <c r="H44" i="9"/>
  <c r="F213" i="9"/>
  <c r="I77" i="9"/>
  <c r="N44" i="9"/>
  <c r="F44" i="9"/>
  <c r="L77" i="9"/>
  <c r="G45" i="9"/>
  <c r="F206" i="9"/>
  <c r="F214" i="9"/>
  <c r="E198" i="9"/>
  <c r="L213" i="9"/>
  <c r="H69" i="9"/>
  <c r="M70" i="9"/>
  <c r="N69" i="9"/>
  <c r="F69" i="9"/>
  <c r="I78" i="9"/>
  <c r="J77" i="9"/>
  <c r="L70" i="9"/>
  <c r="M69" i="9"/>
  <c r="E77" i="9"/>
  <c r="H78" i="9"/>
  <c r="K70" i="9"/>
  <c r="L69" i="9"/>
  <c r="G78" i="9"/>
  <c r="G69" i="9"/>
  <c r="J76" i="9"/>
  <c r="J70" i="9"/>
  <c r="K69" i="9"/>
  <c r="N78" i="9"/>
  <c r="F78" i="9"/>
  <c r="I68" i="9"/>
  <c r="I70" i="9"/>
  <c r="J69" i="9"/>
  <c r="M78" i="9"/>
  <c r="E69" i="9"/>
  <c r="H70" i="9"/>
  <c r="N213" i="9"/>
  <c r="N214" i="9"/>
  <c r="M213" i="9"/>
  <c r="M214" i="9"/>
  <c r="L214" i="9"/>
  <c r="K214" i="9"/>
  <c r="K212" i="9"/>
  <c r="K197" i="9"/>
  <c r="J198" i="9"/>
  <c r="J212" i="9"/>
  <c r="J214" i="9"/>
  <c r="I197" i="9"/>
  <c r="I214" i="9"/>
  <c r="I212" i="9"/>
  <c r="H212" i="9"/>
  <c r="L205" i="9"/>
  <c r="K204" i="9"/>
  <c r="N206" i="9"/>
  <c r="K205" i="9"/>
  <c r="M206" i="9"/>
  <c r="J206" i="9"/>
  <c r="L206" i="9"/>
  <c r="I205" i="9"/>
  <c r="I206" i="9"/>
  <c r="N205" i="9"/>
  <c r="E206" i="9"/>
  <c r="G206" i="9"/>
  <c r="E196" i="9"/>
  <c r="J196" i="9"/>
  <c r="M196" i="9"/>
  <c r="H196" i="9"/>
  <c r="L196" i="9"/>
  <c r="K196" i="9"/>
  <c r="H204" i="9"/>
  <c r="G196" i="9"/>
  <c r="G205" i="9"/>
  <c r="G204" i="9"/>
  <c r="K206" i="9"/>
  <c r="E205" i="9"/>
  <c r="H206" i="9"/>
  <c r="H205" i="9"/>
  <c r="H198" i="9"/>
  <c r="H197" i="9"/>
  <c r="G198" i="9"/>
  <c r="M198" i="9"/>
  <c r="M197" i="9"/>
  <c r="L198" i="9"/>
  <c r="L197" i="9"/>
  <c r="N198" i="9"/>
  <c r="H43" i="9"/>
  <c r="M204" i="9"/>
  <c r="N43" i="9"/>
  <c r="F43" i="9"/>
  <c r="I76" i="9"/>
  <c r="E76" i="9"/>
  <c r="K43" i="9"/>
  <c r="N76" i="9"/>
  <c r="F76" i="9"/>
  <c r="J204" i="9"/>
  <c r="M76" i="9"/>
  <c r="H76" i="9"/>
  <c r="H79" i="9" s="1"/>
  <c r="H80" i="9" s="1"/>
  <c r="J43" i="9"/>
  <c r="J46" i="9" s="1"/>
  <c r="J47" i="9" s="1"/>
  <c r="I43" i="9"/>
  <c r="L76" i="9"/>
  <c r="G76" i="9"/>
  <c r="K76" i="9"/>
  <c r="F196" i="9"/>
  <c r="N196" i="9"/>
  <c r="I204" i="9"/>
  <c r="I196" i="9"/>
  <c r="L204" i="9"/>
  <c r="E204" i="9"/>
  <c r="F204" i="9"/>
  <c r="N204" i="9"/>
  <c r="N207" i="9" s="1"/>
  <c r="N208" i="9" s="1"/>
  <c r="I199" i="9" l="1"/>
  <c r="I200" i="9" s="1"/>
  <c r="K199" i="9"/>
  <c r="K200" i="9" s="1"/>
  <c r="J199" i="9"/>
  <c r="J200" i="9" s="1"/>
  <c r="M199" i="9"/>
  <c r="M200" i="9" s="1"/>
  <c r="N46" i="9"/>
  <c r="N47" i="9" s="1"/>
  <c r="E199" i="9"/>
  <c r="E200" i="9" s="1"/>
  <c r="I46" i="9"/>
  <c r="I47" i="9" s="1"/>
  <c r="J207" i="9"/>
  <c r="J208" i="9" s="1"/>
  <c r="N199" i="9"/>
  <c r="N200" i="9" s="1"/>
  <c r="F215" i="9"/>
  <c r="F216" i="9" s="1"/>
  <c r="K207" i="9"/>
  <c r="K208" i="9" s="1"/>
  <c r="K215" i="9"/>
  <c r="K216" i="9" s="1"/>
  <c r="E215" i="9"/>
  <c r="E216" i="9" s="1"/>
  <c r="N215" i="9"/>
  <c r="N216" i="9" s="1"/>
  <c r="L207" i="9"/>
  <c r="L208" i="9" s="1"/>
  <c r="E79" i="9"/>
  <c r="E80" i="9" s="1"/>
  <c r="G199" i="9"/>
  <c r="G200" i="9" s="1"/>
  <c r="I207" i="9"/>
  <c r="I208" i="9" s="1"/>
  <c r="E46" i="9"/>
  <c r="E47" i="9" s="1"/>
  <c r="G215" i="9"/>
  <c r="G216" i="9" s="1"/>
  <c r="K79" i="9"/>
  <c r="K80" i="9" s="1"/>
  <c r="H46" i="9"/>
  <c r="H47" i="9" s="1"/>
  <c r="H207" i="9"/>
  <c r="H208" i="9" s="1"/>
  <c r="I215" i="9"/>
  <c r="I216" i="9" s="1"/>
  <c r="J215" i="9"/>
  <c r="J216" i="9" s="1"/>
  <c r="K71" i="9"/>
  <c r="K72" i="9" s="1"/>
  <c r="M215" i="9"/>
  <c r="M216" i="9" s="1"/>
  <c r="F199" i="9"/>
  <c r="F200" i="9" s="1"/>
  <c r="M207" i="9"/>
  <c r="M208" i="9" s="1"/>
  <c r="E207" i="9"/>
  <c r="E208" i="9" s="1"/>
  <c r="H199" i="9"/>
  <c r="H200" i="9" s="1"/>
  <c r="H215" i="9"/>
  <c r="H216" i="9" s="1"/>
  <c r="I71" i="9"/>
  <c r="I72" i="9" s="1"/>
  <c r="F207" i="9"/>
  <c r="F208" i="9" s="1"/>
  <c r="L46" i="9"/>
  <c r="L47" i="9" s="1"/>
  <c r="G79" i="9"/>
  <c r="G80" i="9" s="1"/>
  <c r="G207" i="9"/>
  <c r="G208" i="9" s="1"/>
  <c r="L215" i="9"/>
  <c r="L216" i="9" s="1"/>
  <c r="G71" i="9"/>
  <c r="G72" i="9" s="1"/>
  <c r="H71" i="9"/>
  <c r="H72" i="9" s="1"/>
  <c r="I79" i="9"/>
  <c r="I80" i="9" s="1"/>
  <c r="J79" i="9"/>
  <c r="J80" i="9" s="1"/>
  <c r="N71" i="9"/>
  <c r="N72" i="9" s="1"/>
  <c r="F71" i="9"/>
  <c r="F72" i="9" s="1"/>
  <c r="M46" i="9"/>
  <c r="M47" i="9" s="1"/>
  <c r="N79" i="9"/>
  <c r="N80" i="9" s="1"/>
  <c r="F46" i="9"/>
  <c r="F47" i="9" s="1"/>
  <c r="M71" i="9"/>
  <c r="M72" i="9" s="1"/>
  <c r="K46" i="9"/>
  <c r="K47" i="9" s="1"/>
  <c r="E71" i="9"/>
  <c r="E72" i="9" s="1"/>
  <c r="F79" i="9"/>
  <c r="F80" i="9" s="1"/>
  <c r="G46" i="9"/>
  <c r="G47" i="9" s="1"/>
  <c r="L71" i="9"/>
  <c r="L72" i="9" s="1"/>
  <c r="L79" i="9"/>
  <c r="L80" i="9" s="1"/>
  <c r="M79" i="9"/>
  <c r="M80" i="9" s="1"/>
  <c r="L199" i="9"/>
  <c r="L200" i="9" s="1"/>
  <c r="J71" i="9"/>
  <c r="J72" i="9" s="1"/>
  <c r="S121" i="9"/>
  <c r="S123" i="9"/>
  <c r="C172" i="9"/>
  <c r="C173" i="9"/>
  <c r="C171" i="9"/>
  <c r="S122" i="9" l="1"/>
  <c r="R122" i="9"/>
  <c r="H139" i="9"/>
  <c r="R123" i="9"/>
  <c r="V121" i="9"/>
  <c r="U121" i="9"/>
  <c r="V122" i="9"/>
  <c r="U122" i="9"/>
  <c r="V123" i="9"/>
  <c r="U123" i="9"/>
  <c r="S205" i="9"/>
  <c r="R205" i="9"/>
  <c r="V199" i="9"/>
  <c r="U199" i="9"/>
  <c r="R206" i="9"/>
  <c r="S197" i="9"/>
  <c r="R197" i="9"/>
  <c r="V203" i="9"/>
  <c r="U203" i="9"/>
  <c r="V198" i="9"/>
  <c r="U198" i="9"/>
  <c r="S203" i="9"/>
  <c r="R203" i="9"/>
  <c r="V204" i="9"/>
  <c r="U204" i="9"/>
  <c r="R198" i="9"/>
  <c r="S196" i="9"/>
  <c r="R196" i="9"/>
  <c r="V207" i="9"/>
  <c r="U207" i="9"/>
  <c r="V197" i="9"/>
  <c r="U197" i="9"/>
  <c r="V205" i="9"/>
  <c r="U205" i="9"/>
  <c r="V206" i="9"/>
  <c r="U206" i="9"/>
  <c r="V196" i="9"/>
  <c r="U196" i="9"/>
  <c r="S204" i="9"/>
  <c r="R204" i="9"/>
  <c r="S195" i="9"/>
  <c r="R195" i="9"/>
  <c r="R199" i="9"/>
  <c r="R207" i="9"/>
  <c r="V195" i="9"/>
  <c r="U195" i="9"/>
  <c r="K138" i="9"/>
  <c r="K139" i="9"/>
  <c r="N138" i="9"/>
  <c r="J138" i="9"/>
  <c r="J139" i="9"/>
  <c r="I139" i="9"/>
  <c r="I138" i="9"/>
  <c r="G138" i="9"/>
  <c r="G139" i="9"/>
  <c r="E138" i="9"/>
  <c r="E139" i="9"/>
  <c r="F138" i="9"/>
  <c r="F139" i="9"/>
  <c r="L173" i="9"/>
  <c r="L172" i="9"/>
  <c r="I163" i="9"/>
  <c r="I164" i="9"/>
  <c r="I165" i="9"/>
  <c r="K173" i="9"/>
  <c r="K172" i="9"/>
  <c r="J172" i="9"/>
  <c r="J173" i="9"/>
  <c r="J163" i="9"/>
  <c r="J164" i="9"/>
  <c r="J165" i="9"/>
  <c r="E163" i="9"/>
  <c r="E164" i="9"/>
  <c r="E165" i="9"/>
  <c r="G163" i="9"/>
  <c r="G165" i="9"/>
  <c r="G164" i="9"/>
  <c r="I172" i="9"/>
  <c r="I173" i="9"/>
  <c r="H163" i="9"/>
  <c r="H165" i="9"/>
  <c r="H164" i="9"/>
  <c r="N163" i="9"/>
  <c r="N165" i="9"/>
  <c r="N164" i="9"/>
  <c r="F163" i="9"/>
  <c r="F164" i="9"/>
  <c r="F165" i="9"/>
  <c r="H173" i="9"/>
  <c r="H172" i="9"/>
  <c r="K163" i="9"/>
  <c r="K164" i="9"/>
  <c r="K165" i="9"/>
  <c r="M163" i="9"/>
  <c r="M164" i="9"/>
  <c r="M165" i="9"/>
  <c r="E173" i="9"/>
  <c r="E172" i="9"/>
  <c r="G172" i="9"/>
  <c r="G173" i="9"/>
  <c r="M172" i="9"/>
  <c r="M173" i="9"/>
  <c r="L163" i="9"/>
  <c r="L165" i="9"/>
  <c r="L164" i="9"/>
  <c r="N172" i="9"/>
  <c r="N173" i="9"/>
  <c r="F172" i="9"/>
  <c r="F173" i="9"/>
  <c r="M171" i="9"/>
  <c r="F171" i="9"/>
  <c r="N171" i="9"/>
  <c r="K171" i="9"/>
  <c r="G171" i="9"/>
  <c r="E171" i="9"/>
  <c r="H171" i="9"/>
  <c r="J171" i="9"/>
  <c r="I171" i="9"/>
  <c r="L171" i="9"/>
  <c r="K174" i="9" l="1"/>
  <c r="K175" i="9" s="1"/>
  <c r="N174" i="9"/>
  <c r="N175" i="9" s="1"/>
  <c r="I174" i="9"/>
  <c r="I175" i="9" s="1"/>
  <c r="G174" i="9"/>
  <c r="G175" i="9" s="1"/>
  <c r="J174" i="9"/>
  <c r="J175" i="9" s="1"/>
  <c r="J166" i="9"/>
  <c r="J167" i="9" s="1"/>
  <c r="H166" i="9"/>
  <c r="H167" i="9" s="1"/>
  <c r="E166" i="9"/>
  <c r="E167" i="9" s="1"/>
  <c r="H174" i="9"/>
  <c r="H175" i="9" s="1"/>
  <c r="L174" i="9"/>
  <c r="L175" i="9" s="1"/>
  <c r="E174" i="9"/>
  <c r="E175" i="9" s="1"/>
  <c r="F174" i="9"/>
  <c r="F175" i="9" s="1"/>
  <c r="L166" i="9"/>
  <c r="L167" i="9" s="1"/>
  <c r="K166" i="9"/>
  <c r="K167" i="9" s="1"/>
  <c r="N166" i="9"/>
  <c r="N167" i="9" s="1"/>
  <c r="G166" i="9"/>
  <c r="G167" i="9" s="1"/>
  <c r="M174" i="9"/>
  <c r="M175" i="9" s="1"/>
  <c r="M166" i="9"/>
  <c r="M167" i="9" s="1"/>
  <c r="F166" i="9"/>
  <c r="F167" i="9" s="1"/>
  <c r="I166" i="9"/>
  <c r="I167" i="9" s="1"/>
  <c r="H138" i="9"/>
  <c r="N139" i="9"/>
  <c r="M139" i="9"/>
  <c r="L139" i="9"/>
  <c r="L138" i="9"/>
  <c r="M138" i="9"/>
  <c r="S207" i="9"/>
  <c r="S206" i="9"/>
  <c r="R214" i="9"/>
  <c r="V215" i="9"/>
  <c r="U215" i="9"/>
  <c r="S211" i="9"/>
  <c r="R211" i="9"/>
  <c r="S198" i="9"/>
  <c r="S199" i="9"/>
  <c r="S67" i="9"/>
  <c r="R67" i="9"/>
  <c r="V79" i="9"/>
  <c r="U79" i="9"/>
  <c r="V75" i="9"/>
  <c r="U75" i="9"/>
  <c r="R70" i="9"/>
  <c r="S68" i="9"/>
  <c r="R68" i="9"/>
  <c r="R78" i="9"/>
  <c r="V78" i="9"/>
  <c r="U78" i="9"/>
  <c r="S77" i="9"/>
  <c r="R77" i="9"/>
  <c r="V69" i="9"/>
  <c r="U69" i="9"/>
  <c r="R71" i="9"/>
  <c r="S76" i="9"/>
  <c r="R76" i="9"/>
  <c r="V77" i="9"/>
  <c r="U77" i="9"/>
  <c r="V67" i="9"/>
  <c r="U67" i="9"/>
  <c r="S69" i="9"/>
  <c r="R69" i="9"/>
  <c r="V70" i="9"/>
  <c r="U70" i="9"/>
  <c r="V68" i="9"/>
  <c r="U68" i="9"/>
  <c r="V71" i="9"/>
  <c r="U71" i="9"/>
  <c r="V76" i="9"/>
  <c r="U76" i="9"/>
  <c r="R79" i="9"/>
  <c r="S75" i="9"/>
  <c r="R75" i="9"/>
  <c r="S44" i="9"/>
  <c r="R44" i="9"/>
  <c r="V45" i="9"/>
  <c r="U45" i="9"/>
  <c r="V46" i="9"/>
  <c r="U46" i="9"/>
  <c r="V43" i="9"/>
  <c r="U43" i="9"/>
  <c r="R45" i="9"/>
  <c r="R46" i="9"/>
  <c r="S42" i="9"/>
  <c r="R42" i="9"/>
  <c r="S43" i="9"/>
  <c r="R43" i="9"/>
  <c r="V44" i="9"/>
  <c r="U44" i="9"/>
  <c r="V42" i="9"/>
  <c r="U42" i="9"/>
  <c r="G102" i="2"/>
  <c r="V211" i="9" l="1"/>
  <c r="U211" i="9"/>
  <c r="V212" i="9"/>
  <c r="U212" i="9"/>
  <c r="V213" i="9"/>
  <c r="U213" i="9"/>
  <c r="S212" i="9"/>
  <c r="R212" i="9"/>
  <c r="V214" i="9"/>
  <c r="U214" i="9"/>
  <c r="R215" i="9"/>
  <c r="S214" i="9"/>
  <c r="S215" i="9"/>
  <c r="S213" i="9"/>
  <c r="R213" i="9"/>
  <c r="R173" i="9"/>
  <c r="V171" i="9"/>
  <c r="U171" i="9"/>
  <c r="V174" i="9"/>
  <c r="U174" i="9"/>
  <c r="S162" i="9"/>
  <c r="R162" i="9"/>
  <c r="S171" i="9"/>
  <c r="R171" i="9"/>
  <c r="S164" i="9"/>
  <c r="R164" i="9"/>
  <c r="S172" i="9"/>
  <c r="R172" i="9"/>
  <c r="V173" i="9"/>
  <c r="U173" i="9"/>
  <c r="V170" i="9"/>
  <c r="U170" i="9"/>
  <c r="V164" i="9"/>
  <c r="U164" i="9"/>
  <c r="R174" i="9"/>
  <c r="V172" i="9"/>
  <c r="U172" i="9"/>
  <c r="V162" i="9"/>
  <c r="U162" i="9"/>
  <c r="V166" i="9"/>
  <c r="U166" i="9"/>
  <c r="V165" i="9"/>
  <c r="U165" i="9"/>
  <c r="R165" i="9"/>
  <c r="V163" i="9"/>
  <c r="U163" i="9"/>
  <c r="S163" i="9"/>
  <c r="R163" i="9"/>
  <c r="R166" i="9"/>
  <c r="G107" i="2"/>
  <c r="G104" i="2"/>
  <c r="G105" i="2"/>
  <c r="G106" i="2"/>
  <c r="S70" i="9"/>
  <c r="S71" i="9"/>
  <c r="S78" i="9"/>
  <c r="S79" i="9"/>
  <c r="S46" i="9"/>
  <c r="S45" i="9"/>
  <c r="S165" i="9" l="1"/>
  <c r="S166" i="9"/>
  <c r="S170" i="9"/>
  <c r="R170" i="9"/>
  <c r="S173" i="9"/>
  <c r="S174" i="9"/>
  <c r="C108" i="2"/>
  <c r="C109" i="2" s="1"/>
  <c r="C110" i="2" l="1"/>
  <c r="F117" i="2" l="1"/>
  <c r="F118" i="2"/>
  <c r="F119" i="2"/>
  <c r="F120" i="2"/>
  <c r="F121" i="2"/>
  <c r="F122" i="2"/>
  <c r="F123" i="2"/>
  <c r="F124" i="2"/>
  <c r="F125" i="2"/>
  <c r="F126" i="2"/>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<sst xmlns="http://schemas.openxmlformats.org/spreadsheetml/2006/main" count="4699" uniqueCount="626">
  <si>
    <t>sample</t>
  </si>
  <si>
    <t>source</t>
  </si>
  <si>
    <t>country</t>
  </si>
  <si>
    <t>location</t>
  </si>
  <si>
    <t>year</t>
  </si>
  <si>
    <t>system_type</t>
  </si>
  <si>
    <t>system_configuration</t>
  </si>
  <si>
    <t>manufacturer/model</t>
  </si>
  <si>
    <t>total_cost_npr</t>
  </si>
  <si>
    <t>system_cost_npr_per_kwp</t>
  </si>
  <si>
    <t>total_cost_eur</t>
  </si>
  <si>
    <t>system_cost_eur_per_kw</t>
  </si>
  <si>
    <t>total_cost_ien</t>
  </si>
  <si>
    <t>system_cost_ien_per_kw</t>
  </si>
  <si>
    <t>pv_kWp</t>
  </si>
  <si>
    <t>pv_$</t>
  </si>
  <si>
    <t>mounting_$</t>
  </si>
  <si>
    <t>coupling_ac_dc</t>
  </si>
  <si>
    <t>dc_ac_disconnect</t>
  </si>
  <si>
    <t>Charge controller/MPPT ($)</t>
  </si>
  <si>
    <t>solar_inverter_kw</t>
  </si>
  <si>
    <t>solar_inverter_$</t>
  </si>
  <si>
    <t>battery_inverter_kw</t>
  </si>
  <si>
    <t>battery_inverter_$</t>
  </si>
  <si>
    <t>battery_kwh</t>
  </si>
  <si>
    <t>battery_$</t>
  </si>
  <si>
    <t>Diesel Generator (KVA)</t>
  </si>
  <si>
    <t>meter</t>
  </si>
  <si>
    <t>other_bos</t>
  </si>
  <si>
    <t>pump_size_hp</t>
  </si>
  <si>
    <t>pump_type</t>
  </si>
  <si>
    <t>uspc_yes_np</t>
  </si>
  <si>
    <t>ssl_type</t>
  </si>
  <si>
    <t>cc_ssl</t>
  </si>
  <si>
    <t>luminary</t>
  </si>
  <si>
    <t>pole_height</t>
  </si>
  <si>
    <t>leds</t>
  </si>
  <si>
    <t>mobile_charger</t>
  </si>
  <si>
    <t>dc_fan</t>
  </si>
  <si>
    <t>https://kenbrooksolar.com/</t>
  </si>
  <si>
    <t>India</t>
  </si>
  <si>
    <t>SIPS</t>
  </si>
  <si>
    <t>pv</t>
  </si>
  <si>
    <t>AC</t>
  </si>
  <si>
    <t>submersible</t>
  </si>
  <si>
    <t>DC</t>
  </si>
  <si>
    <t>surface</t>
  </si>
  <si>
    <t>pv_storage</t>
  </si>
  <si>
    <t>SHS</t>
  </si>
  <si>
    <t>pv_ac_storage</t>
  </si>
  <si>
    <t>pv_ac_couple</t>
  </si>
  <si>
    <t>components</t>
  </si>
  <si>
    <t>smartmeter_1ph</t>
  </si>
  <si>
    <t>SPV Division Goverment of India Ministry of New and RE</t>
  </si>
  <si>
    <t>CIS</t>
  </si>
  <si>
    <t>pv_grid</t>
  </si>
  <si>
    <t>SSL</t>
  </si>
  <si>
    <t>type2</t>
  </si>
  <si>
    <t>pv_panel</t>
  </si>
  <si>
    <t>MNRE Benchmark</t>
  </si>
  <si>
    <t>no</t>
  </si>
  <si>
    <t>yes</t>
  </si>
  <si>
    <t>Nessa p-vt Ltd</t>
  </si>
  <si>
    <t>Type 2</t>
  </si>
  <si>
    <t>type3</t>
  </si>
  <si>
    <t>Type 3</t>
  </si>
  <si>
    <t>Glanson Enterprises</t>
  </si>
  <si>
    <t>D2D+dimming</t>
  </si>
  <si>
    <t>ESV Connect</t>
  </si>
  <si>
    <t>MPPT, CC, CV, Integrated PIR motion
sensor</t>
  </si>
  <si>
    <t>type4</t>
  </si>
  <si>
    <t>Type 4</t>
  </si>
  <si>
    <t>Systeller Innovations</t>
  </si>
  <si>
    <t>Sunlit</t>
  </si>
  <si>
    <t>GVP</t>
  </si>
  <si>
    <t>pv_dc_storage</t>
  </si>
  <si>
    <t>3W * 2</t>
  </si>
  <si>
    <t>6W</t>
  </si>
  <si>
    <t>7W * 1</t>
  </si>
  <si>
    <t>7W * 2</t>
  </si>
  <si>
    <t>12W</t>
  </si>
  <si>
    <t>solar_inverter</t>
  </si>
  <si>
    <t>de.rs-online.com</t>
  </si>
  <si>
    <t>Germany</t>
  </si>
  <si>
    <t>Schneider</t>
  </si>
  <si>
    <t>shop.solar-pur.de</t>
  </si>
  <si>
    <t>Fronius</t>
  </si>
  <si>
    <t>Huawei</t>
  </si>
  <si>
    <t>3-ph</t>
  </si>
  <si>
    <t>SOLARMAX</t>
  </si>
  <si>
    <t>www.photovoltaik-shop.com</t>
  </si>
  <si>
    <t>battery_lithium_ion</t>
  </si>
  <si>
    <t>battery_inverter</t>
  </si>
  <si>
    <t>Sunny Island</t>
  </si>
  <si>
    <t>Battery</t>
  </si>
  <si>
    <t>Solar Inverter</t>
  </si>
  <si>
    <t>commercial and industrial</t>
  </si>
  <si>
    <t>solar home systems</t>
  </si>
  <si>
    <t>solar mini grids</t>
  </si>
  <si>
    <t>irrigation pumps</t>
  </si>
  <si>
    <t>solar street lights</t>
  </si>
  <si>
    <t>System Type</t>
  </si>
  <si>
    <t>SMG</t>
  </si>
  <si>
    <t>pv_no_mount</t>
  </si>
  <si>
    <t>pv_diesel_dc</t>
  </si>
  <si>
    <t>pv_grid_diesel</t>
  </si>
  <si>
    <t>pv_dc_couple</t>
  </si>
  <si>
    <t>pv_diesel_ac</t>
  </si>
  <si>
    <t>pv_grid_storage</t>
  </si>
  <si>
    <t>pv_mounting</t>
  </si>
  <si>
    <t>pv_storage_dc</t>
  </si>
  <si>
    <t>pv_grid_diesel_storage</t>
  </si>
  <si>
    <t>pv_storage_diesel_dc</t>
  </si>
  <si>
    <t>battery_lead_acid</t>
  </si>
  <si>
    <t>pv_storage_diesel_ac</t>
  </si>
  <si>
    <t>pv_storage_grid</t>
  </si>
  <si>
    <t>diesel_gen</t>
  </si>
  <si>
    <t>pv_storage_diesel_grid</t>
  </si>
  <si>
    <t>INR</t>
  </si>
  <si>
    <t>YEN</t>
  </si>
  <si>
    <t>EUR</t>
  </si>
  <si>
    <t>SPV Module</t>
  </si>
  <si>
    <t>Mounting</t>
  </si>
  <si>
    <t>CC/
MPPT</t>
  </si>
  <si>
    <t xml:space="preserve">Solar Inverter </t>
  </si>
  <si>
    <t xml:space="preserve"> Battery Inverter</t>
  </si>
  <si>
    <t xml:space="preserve"> Fuel Generator</t>
  </si>
  <si>
    <t>Metering</t>
  </si>
  <si>
    <t>Others/
BOS</t>
  </si>
  <si>
    <t>PV + grid + storage</t>
  </si>
  <si>
    <t>PV DC Coupled</t>
  </si>
  <si>
    <t>Component</t>
  </si>
  <si>
    <t>Imported (Via India)</t>
  </si>
  <si>
    <t>Procured Locally</t>
  </si>
  <si>
    <t>CC/MPPT</t>
  </si>
  <si>
    <t>Distribution Cables</t>
  </si>
  <si>
    <t>Distribution Poles</t>
  </si>
  <si>
    <t>Indoor Installation</t>
  </si>
  <si>
    <t>Others/BOS</t>
  </si>
  <si>
    <t>Protection Systems</t>
  </si>
  <si>
    <t>Smart Metering</t>
  </si>
  <si>
    <t>Water Pump</t>
  </si>
  <si>
    <t>X</t>
  </si>
  <si>
    <t>Cofficients</t>
  </si>
  <si>
    <t>Y = b * ln(X) + a</t>
  </si>
  <si>
    <t>Pragati</t>
  </si>
  <si>
    <t>https://www.flipkart.com/solar-universe-india-panel-30w/p/itm382f1418d318e</t>
  </si>
  <si>
    <t>Solar Universe India</t>
  </si>
  <si>
    <t>https://www.indiamart.com/proddetail/50w-solar-lighting-system-9</t>
  </si>
  <si>
    <t>3 bulbs</t>
  </si>
  <si>
    <t>blogs/pricelist</t>
  </si>
  <si>
    <t>Loom Solar</t>
  </si>
  <si>
    <t>2 bulbs</t>
  </si>
  <si>
    <t>reference_freddy</t>
  </si>
  <si>
    <t>https://szpowersolution.en.made-in-china.com/product/IFTJWcOUYaVG/China-20W-Solar-Home-Lighting-System-with-3-LED-Bulbs-FM-and-MP3-Player-Can-Run-DC-TV-and-Fan.html</t>
  </si>
  <si>
    <t>China</t>
  </si>
  <si>
    <t>Shenzen Power Solution</t>
  </si>
  <si>
    <t>made-in-china.com</t>
  </si>
  <si>
    <t>Daheng Energy Technology</t>
  </si>
  <si>
    <t>Hefei Pinergy Solar</t>
  </si>
  <si>
    <t xml:space="preserve">China </t>
  </si>
  <si>
    <t>Ivy Metering</t>
  </si>
  <si>
    <t>https://www.alibaba.com/product-detail/ESG-300w-500w-1000w-2000w-Inverter_1600117115390.html</t>
  </si>
  <si>
    <t>Guangzhou ESG New Energy Technology Co., Ltd.</t>
  </si>
  <si>
    <t>https://www.alibaba.com/product-detail/Growatt-SPH10000TL3-BH-Three-Phase-High_1600430161758.html</t>
  </si>
  <si>
    <t>SUNWAY SOLAR CO., LTD</t>
  </si>
  <si>
    <t>https://www.alibaba.com/product-detail/Home-Solar-System-Panel-Hybrid-Solar_62171501224.html</t>
  </si>
  <si>
    <t>Shenzhen Gsl Energy Co., Ltd.</t>
  </si>
  <si>
    <t>https://www.alibaba.com/product-detail/Inverter-on-off-storage-grid-inverter_62173435323.html</t>
  </si>
  <si>
    <t>Bluesun Solar Co., Ltd.</t>
  </si>
  <si>
    <t>https://www.alibaba.com/product-detail/Growatt-5000ES-5000W-Off-Grid-Solar_1600252402812.html</t>
  </si>
  <si>
    <t>Rosen Solar Energy Co., Ltd.</t>
  </si>
  <si>
    <t>https://www.alibaba.com/product-detail/110V-220V-48V-10KVA-pv-low_1600296900508.html</t>
  </si>
  <si>
    <t>Guangzhou Felicity Solar Technology Company Limited</t>
  </si>
  <si>
    <t>https://www.alibaba.com/product-detail/Expert-Max-Off-Grid-8000W-120A_1600524975848.html</t>
  </si>
  <si>
    <t>Shenzhen SCMK New Energy Co.,Ltd</t>
  </si>
  <si>
    <t>https://www.alibaba.com/product-detail/5000w-6000w-24V-48v-solar-inverter_1600244276776.html</t>
  </si>
  <si>
    <t>Foshan Top One Power Technology Co., Ltd.</t>
  </si>
  <si>
    <t>https://www.alibaba.com/product-detail/Hot-sale-factory-direct-off-grid_1600449116026.html</t>
  </si>
  <si>
    <t>Shenzhen Invt Electric Co., Ltd.</t>
  </si>
  <si>
    <t>https://www.alibaba.com/product-detail/pure-sine-wave-6KW-Off-grid_1600416689993.html</t>
  </si>
  <si>
    <t>Shenzhen Zlpower Electronics Co., Ltd.</t>
  </si>
  <si>
    <t>https://www.indiamart.com/proddetail/jmt-1200-tubular-battery-15407642388.html</t>
  </si>
  <si>
    <t>Swastik Industries</t>
  </si>
  <si>
    <t>https://www.indiamart.com/proddetail/front-terminal-batteries-22920273591.html</t>
  </si>
  <si>
    <t>Microtex Energy Private Limited</t>
  </si>
  <si>
    <t>https://www.indiamart.com/proddetail/decor-12v-250ah-inverter-battery-for-inverter-use-25854119897.html</t>
  </si>
  <si>
    <t>Shivam Energy Control Systems Private Limited</t>
  </si>
  <si>
    <t>https://www.indiamart.com/proddetail/exide-inverter-battery-20314262948.html</t>
  </si>
  <si>
    <t>Maxxcom System Private Limited</t>
  </si>
  <si>
    <t>https://www.indiamart.com/proddetail/inverter-battery-8598217697.html</t>
  </si>
  <si>
    <t>Z-Power Impex Private Limited</t>
  </si>
  <si>
    <t>https://www.alibaba.com/product-detail/Solar-Inverter-Solar-Inverter-SNAT-Energy_1600153399800.html</t>
  </si>
  <si>
    <t>Foshan Snat Energy Electrical Technology Co., Ltd.</t>
  </si>
  <si>
    <t>https://www.alibaba.com/product-detail/LCD-Display-300w-600w-1000w-2000w_1600377901635.html?s=p</t>
  </si>
  <si>
    <t>Yucoo Network Equipment Co., Limited</t>
  </si>
  <si>
    <t>https://www.alibaba.com/product-detail/Solar-Inverter-Solar-Power-Inverter-500W_1600523952301.html?s=p</t>
  </si>
  <si>
    <t>Ningbo Kosun New Energy Co., Ltd.</t>
  </si>
  <si>
    <t>https://www.alibaba.com/product-detail/Huawei-Hybrid-Solar-Inverter-5kw-8kw_1600545595432.html</t>
  </si>
  <si>
    <t>Anhui Jingsun New Energy And Technology Co., Ltd.</t>
  </si>
  <si>
    <t>https://www.alibaba.com/product-detail/5kw-off-grid-hybrid-inverter-growatt_1600429364027.html</t>
  </si>
  <si>
    <t>Jiangsu Solarman Technology Co., Ltd.</t>
  </si>
  <si>
    <t>https://tgue-trade210311.en.made-in-china.com/product/KFZAVXdMdyWh/China-Long-Life-12V-200ah-192ah-184ah-AGM-VRLA-UPS-Inverter-and-Solar-System-Lead-Acid-Battery.html</t>
  </si>
  <si>
    <t>Guangdong Tiangang New Energy Technology Co., Ltd.</t>
  </si>
  <si>
    <t>https://hf-sunshine.en.made-in-china.com/product/gOhaZxQVXBWP/China-Sunshine-Most-Popular-LiFePO4-12V-100ah-Lithium-Battery-Lead-Acid-Replacement-Solar-RV-Marine.html</t>
  </si>
  <si>
    <t>HEFEI SUNSHINE SCI-TECH CO., LTD.</t>
  </si>
  <si>
    <t>https://gzxuntian.en.made-in-china.com/product/qyjxzpGlHIhu/China-UPS-Lead-Acid-Rechargeable-Solar-Panel-Power-Battery-12V24ah-12V38ah-12V50ah-12V55ah-12V65ah-12V100ah-12V120ah-12V150ah-12V200ah-12V250ah-.html</t>
  </si>
  <si>
    <t>Guangzhou Xuntian Electronic Technology Co., Ltd.</t>
  </si>
  <si>
    <t>https://longv-solarpanel.en.made-in-china.com/product/WnJYBQIkFaVE/China-12V-2-6ah-6-FM-2-6-AGM-Rechargeable-Lead-Acid-Battery-Gel-Lithium-12V-100ah-200ah-250ah-36V-12ah-Solar-Battery-Factory-Price.html</t>
  </si>
  <si>
    <t>Luan East West International Trade Co., Limited</t>
  </si>
  <si>
    <t>https://koyosonic.en.made-in-china.com/product/lFdGOEyLSCkz/China-Lithium-Battery-Rack-48V100ah-200ah-Tesla-LiFePO4-Battery-2-5kwh-5kwh-10kwh-15kwh-Lithium-Ion-Battery-Pack-Li-ion-Home-Storage-Battery.html</t>
  </si>
  <si>
    <t>Koyosonic Power Co., Ltd.</t>
  </si>
  <si>
    <t>https://everexceed.en.made-in-china.com/product/wKYmLRizTJtn/China-CE-and-UL-Approved-Rechargeable-Lithium-Ion-48V-100ah-LiFePO4-Solar-Battery-with-BMS-Solar-System-for-Solar-Wind-Energy-Storage-Solar.html</t>
  </si>
  <si>
    <t>Shenzhen Everexceed Industrial Co., Ltd.</t>
  </si>
  <si>
    <t>https://cyclen.en.made-in-china.com/product/BFVQTZOHkmhs/China-Deep-Cycle-12V-24V-100ah-200ah-300ah-Lithium-Ion-LiFePO4-Battery-for-Power-and-Solar-Storage.html</t>
  </si>
  <si>
    <t>Shenzhen Cyclen Technology Co., Ltd.</t>
  </si>
  <si>
    <t>https://takoma.en.made-in-china.com/product/YwOQufDUXHhj/China-Tycorun-Rechargeable-Lithium-Solar-Battery-Pack-48V-50ah-100ah-150ah-200ah-400ah-500ah-Li-ion-Lithium-Ion-LiFePO4-Battery-for-UPS-Inverter-Energy-Storage.html</t>
  </si>
  <si>
    <t>Guangzhou Tycorun Energy Co., Ltd.</t>
  </si>
  <si>
    <t>https://howellenergy.en.made-in-china.com/product/oFcfmtxDsMpl/China-Deep-Cycle-Rechargeable-48V-100ah-200ah-5kwh-10kwh-LFP-Liion-Solar-Energy-Storage-Forklift-Electric-Vehicle-UPS-Golf-Lithium-Ion-Iron-Phosphate-LiFePO4-Battery.html</t>
  </si>
  <si>
    <t>Howell Energy Co., Ltd.</t>
  </si>
  <si>
    <t>https://bobigpower.en.made-in-china.com/product/dNoxwFDPPqcb/China-25kVA-1250kVA-Diesel-Generator-Set-with-ISO-and-Ce-Top-Quality.html</t>
  </si>
  <si>
    <t>Fujian Bobig Electric Machinery Co., Ltd.</t>
  </si>
  <si>
    <t>https://univpower.en.made-in-china.com/product/QbhmqGKMCjWH/China-200kVA-160kw-Silent-Diesel-Genset-UC160E-.html</t>
  </si>
  <si>
    <t>Zhejiang Universal Machinery Co., Ltd.</t>
  </si>
  <si>
    <t>https://diesel-generator.en.made-in-china.com/product/sNGEBKfTCPWX/China-10kVA-to-1000kVA-Power-Diesel-Generator-Fu-K-Brand-U-S-a-Brand-Ricardo.html</t>
  </si>
  <si>
    <t>Fuzhou Jet Electric Machinery Co., Ltd.</t>
  </si>
  <si>
    <t>https://jcpower.en.made-in-china.com/product/EvcJsiWVrohw/China-20kVA-2750kVA-Cummins-Yuchai-Super-Silent-Soundproof-Open-Electric-Diesel-Engine-Part-Generator-Set-Genset-Generators-for-Logistics-Mine-Hospital-Mall.html</t>
  </si>
  <si>
    <t>Zhejiang Genlent Generator Technology Co., Ltd.</t>
  </si>
  <si>
    <t>https://bosspowers.en.made-in-china.com/product/njUEOqLoXIci/China-Diesel-Generator-Single-3-Phase-Cummins-Perkins-Yanmar-Ricardo-Open-Silent-Electric-Soundproof-Power-Generator.html</t>
  </si>
  <si>
    <t>Fujian BOSS Electrical Machinery Co., Ltd.</t>
  </si>
  <si>
    <t>https://www.indiamart.com/proddetail/165-w-solar-panel-19904374597.html</t>
  </si>
  <si>
    <t>Amrut Energy Private Limited</t>
  </si>
  <si>
    <t>https://www.indiamart.com/proddetail/birkan-solar-panel-23484932155.html</t>
  </si>
  <si>
    <t>Birkan Engineering Industries Private Limited</t>
  </si>
  <si>
    <t>https://www.indiamart.com/proddetail/solar-panels-13451529288.html</t>
  </si>
  <si>
    <t>Network Techlab India Private Limited</t>
  </si>
  <si>
    <t>https://www.amazon.de/cyg-Beleuchtung-Gleichstrom-Erzeugungssystem-Solarpanel-Stromerzeuger-Solargenerator/dp/B08J3N33VW/ref=asc_df_B08J3N33VW/?tag=googshopde-21&amp;linkCode=df0&amp;hvadid=603962828832&amp;hvpos=&amp;hvnetw=g&amp;hvrand=1762978506699781675&amp;hvpone=&amp;hvptwo=&amp;hvqmt=&amp;hvdev=c&amp;hvdvcmdl=&amp;hvlocint=&amp;hvlocphy=9061132&amp;hvtargid=pla-1708911040460&amp;th=1</t>
  </si>
  <si>
    <t>CYG</t>
  </si>
  <si>
    <t>Guandong Lithium Hua</t>
  </si>
  <si>
    <t>Nanjing KSUNSOLAR</t>
  </si>
  <si>
    <t>Shenzhen Tuorui New Energy Technology Co., Ltd.</t>
  </si>
  <si>
    <t>https://www.indiamart.com/proddetail/solar-home-light-system-21853854630.html?pos=3&amp;pla=n</t>
  </si>
  <si>
    <t>Websol India</t>
  </si>
  <si>
    <t>https://www.indiamart.com/proddetail/d-light-solar-inverter-home-system-20695938662.html?pos=4&amp;pla=n</t>
  </si>
  <si>
    <t>https://www.indiamart.com/proddetail/20w-led-solar-home-lighting-system-19861131791.html?pos=5&amp;pla=n</t>
  </si>
  <si>
    <t>solar energie technik limited</t>
  </si>
  <si>
    <t>https://www.indiamart.com/proddetail/solar-smart-home-light-system-23694611555.html?pos=15&amp;pla=n</t>
  </si>
  <si>
    <t>adisun solar india</t>
  </si>
  <si>
    <t>https://www.zeropower.in/product-details/100-wp-module-solar-eco-smart-home-dc-combo-with-controller</t>
  </si>
  <si>
    <t>https://linshu.en.made-in-china.com/product/nOYarIdlbVRj/China-Smart-power-meter-single-phase-with-WIFI-DIN-Rail-Mounted-electric-meters.html</t>
  </si>
  <si>
    <t>Dalian Linshu Electron Co., Ltd.</t>
  </si>
  <si>
    <t>https://zhuhaiyujian.en.made-in-china.com/product/sjREvqSYfWcz/China-Single-Phase-Prepayment-Smart-Energy-Meter-with-Sts-Approval.html</t>
  </si>
  <si>
    <t>Zhuhai Yujian Science &amp; Technology Co., Ltd.</t>
  </si>
  <si>
    <t>https://trj-china.en.made-in-china.com/product/ydhtzYgVXPcL/China-DDZY876-STS-Prepayment-Single-Phase-Two-Wire-Split-Keypad-Electronic-Smart-Energy-Meter.html</t>
  </si>
  <si>
    <t>Shenzhen Techrise Electronics Co., Ltd</t>
  </si>
  <si>
    <t>https://trj-china.en.made-in-china.com/product/FwWflHbTCgct/China-DDZY876-STS-Prepayment-Postpayment-Single-Phase-Two-Wire-Keypad-Electronic-RF-LoRa-PLC-GPRS-3G-4G-Module-Communication-Split-Smart-Energy-Meter.html</t>
  </si>
  <si>
    <t>Shenzhen Techrise Electronics Co., Ltd.</t>
  </si>
  <si>
    <t>http://www.europe-solarshop.com/sma-sunny-boy-3-0-1av-40.html</t>
  </si>
  <si>
    <t>SMA Sunny Boy</t>
  </si>
  <si>
    <t>http://www.europe-solarshop.com/sma-sunny-boy-3-6-1av-40.html</t>
  </si>
  <si>
    <t>http://www.europe-solarshop.com/sma-sunny-boy-4-0-1av-40.html</t>
  </si>
  <si>
    <t>http://www.europe-solarshop.com/sma-sunny-boy-5-0-1av-40.html</t>
  </si>
  <si>
    <t>SMA Sunny Island</t>
  </si>
  <si>
    <t>https://www.europe-solarstore.com/solar-inverters/sma/sunny-island/sma-sunny-island-3-0m.html</t>
  </si>
  <si>
    <t>Eternitygreens</t>
  </si>
  <si>
    <t>Greenland</t>
  </si>
  <si>
    <t>Phocos</t>
  </si>
  <si>
    <t>Devang solar</t>
  </si>
  <si>
    <t>Iysert Energy</t>
  </si>
  <si>
    <t>Sun King</t>
  </si>
  <si>
    <t>Home 60</t>
  </si>
  <si>
    <t>Sun Drop</t>
  </si>
  <si>
    <t>PV+Grid+ no storage</t>
  </si>
  <si>
    <t>Luminous</t>
  </si>
  <si>
    <t>SRT</t>
  </si>
  <si>
    <t>SMA Sunny Tripower</t>
  </si>
  <si>
    <t>KACO Power 48</t>
  </si>
  <si>
    <t>Fronius Symo 10.0-3-M</t>
  </si>
  <si>
    <t>SolarEdge SE12.5K</t>
  </si>
  <si>
    <t xml:space="preserve">Vikram </t>
  </si>
  <si>
    <t>https://www.indiamart.com/proddetail/rooftop-solar-panel-20072738212.html?pos=5&amp;pla=n</t>
  </si>
  <si>
    <t>https://www.solaranlagen-portal.com/solar/solaranlage/preise/modulpreise</t>
  </si>
  <si>
    <t>Average Market Study</t>
  </si>
  <si>
    <t>Average Market Study /Mainstream</t>
  </si>
  <si>
    <t>Average Market Study /High Efficiency</t>
  </si>
  <si>
    <t>Average Market Study /Low Cost (B)</t>
  </si>
  <si>
    <t>https://photovoltaik.one/photovoltaik-preise</t>
  </si>
  <si>
    <t>https://echtsolar.de/kosten-wechselrichter/</t>
  </si>
  <si>
    <t>Average Market Study/ &gt;5kWh</t>
  </si>
  <si>
    <t>Average Market Study/ 5kWh - 10kWh</t>
  </si>
  <si>
    <t>Average Market Study/ 10kWh - 100kWh</t>
  </si>
  <si>
    <t>Curve of best fit</t>
  </si>
  <si>
    <t>Estimation Method</t>
  </si>
  <si>
    <t>Intercept (a)</t>
  </si>
  <si>
    <t>Gradient (b)</t>
  </si>
  <si>
    <t>Solar Irrigation Pumping Systems (0 &lt; x &lt; 30 kW)</t>
  </si>
  <si>
    <t>Values</t>
  </si>
  <si>
    <t>Categories</t>
  </si>
  <si>
    <t>Solar Rooftop Systems (100 W &lt; x &lt; 10 kW)</t>
  </si>
  <si>
    <t>Solar Home Systems (0 W&lt; x &lt; 100 W)</t>
  </si>
  <si>
    <t>300 kWp Minigrid</t>
  </si>
  <si>
    <t>30  kWp Minigrid</t>
  </si>
  <si>
    <t>Solar Panel</t>
  </si>
  <si>
    <t>Solar Mounting (Ground)</t>
  </si>
  <si>
    <t>Battery Inverter</t>
  </si>
  <si>
    <t>Distribution Network</t>
  </si>
  <si>
    <t>Benchmark Costs</t>
  </si>
  <si>
    <t>USD/kWp</t>
  </si>
  <si>
    <t>USD/kW</t>
  </si>
  <si>
    <t>USD/kWh</t>
  </si>
  <si>
    <t>Sizing</t>
  </si>
  <si>
    <t>Battery Storage (Li ion)</t>
  </si>
  <si>
    <t>Cost</t>
  </si>
  <si>
    <t>Logistics</t>
  </si>
  <si>
    <t>Installation</t>
  </si>
  <si>
    <t>Land Acquisition</t>
  </si>
  <si>
    <t>BOS</t>
  </si>
  <si>
    <t>Soft Costs</t>
  </si>
  <si>
    <t>of total Cost</t>
  </si>
  <si>
    <t>Total</t>
  </si>
  <si>
    <t>Total Cost per Connection</t>
  </si>
  <si>
    <t>Total Cost per kWp</t>
  </si>
  <si>
    <t>USD</t>
  </si>
  <si>
    <t>USD / connection</t>
  </si>
  <si>
    <t>USD / kWp</t>
  </si>
  <si>
    <t>Back- Up Diesel Generator</t>
  </si>
  <si>
    <t>Balance of System</t>
  </si>
  <si>
    <t>Equipment cost</t>
  </si>
  <si>
    <t>System sizes</t>
  </si>
  <si>
    <t>Other Costs</t>
  </si>
  <si>
    <t>%</t>
  </si>
  <si>
    <t>Total Cost</t>
  </si>
  <si>
    <t>NPR</t>
  </si>
  <si>
    <t>1 USD = X NPR</t>
  </si>
  <si>
    <t>kWp</t>
  </si>
  <si>
    <t>Commercial and Industrial PV Systems (10 kW &lt; x &lt; 300 kW)</t>
  </si>
  <si>
    <t>Without Storage</t>
  </si>
  <si>
    <t>With Storage</t>
  </si>
  <si>
    <t>Without Battery</t>
  </si>
  <si>
    <t>With Battery</t>
  </si>
  <si>
    <t>DC with battery</t>
  </si>
  <si>
    <t>No. of systems</t>
  </si>
  <si>
    <t>#</t>
  </si>
  <si>
    <t>Solar Street Lights (Type 2, 3 and 4)</t>
  </si>
  <si>
    <t>Grid length</t>
  </si>
  <si>
    <t>km</t>
  </si>
  <si>
    <t>Connections</t>
  </si>
  <si>
    <t>Generation System</t>
  </si>
  <si>
    <t>Metering System</t>
  </si>
  <si>
    <t>NPR / kWp</t>
  </si>
  <si>
    <t>Wp</t>
  </si>
  <si>
    <t>NPR / kW</t>
  </si>
  <si>
    <t>Small C&amp;I (x &lt; 100 kWp)</t>
  </si>
  <si>
    <t>Large C&amp;I (x &gt; 100 kWp)</t>
  </si>
  <si>
    <t>Renewable fraction</t>
  </si>
  <si>
    <t>Low, Medium, High</t>
  </si>
  <si>
    <t>Categorized medians</t>
  </si>
  <si>
    <t>RE fraction</t>
  </si>
  <si>
    <t>Low</t>
  </si>
  <si>
    <t>Medium</t>
  </si>
  <si>
    <t>High</t>
  </si>
  <si>
    <t>Without battery</t>
  </si>
  <si>
    <t>With battery</t>
  </si>
  <si>
    <t>Commercial and Industrial PV Systems (30 kW &lt; x &lt; 300 kW)</t>
  </si>
  <si>
    <t>Meters</t>
  </si>
  <si>
    <t>NPR / connection</t>
  </si>
  <si>
    <t>Pre-paid smart meter</t>
  </si>
  <si>
    <t>NPR / km</t>
  </si>
  <si>
    <t>LV Network</t>
  </si>
  <si>
    <t>Battery : PV</t>
  </si>
  <si>
    <t>Generator: PV</t>
  </si>
  <si>
    <t>High RE (80-100%)</t>
  </si>
  <si>
    <t>Medium RE (60-80%)</t>
  </si>
  <si>
    <t>Low RE (40-60%)</t>
  </si>
  <si>
    <t>Total Cost per connection</t>
  </si>
  <si>
    <t>RE Solar Mini-Grids (30 kW &lt; x &lt; 300 kW)</t>
  </si>
  <si>
    <t>Number of Connections</t>
  </si>
  <si>
    <t>km of Distribution line</t>
  </si>
  <si>
    <t>100 % RE Scenario</t>
  </si>
  <si>
    <t>USD/conn.</t>
  </si>
  <si>
    <t>Unit</t>
  </si>
  <si>
    <t>kWh</t>
  </si>
  <si>
    <t>kW</t>
  </si>
  <si>
    <t>conn</t>
  </si>
  <si>
    <t>USD/km</t>
  </si>
  <si>
    <t>Residential Solar Rooftop Systems (SRT) - 100 W to 10 kW</t>
  </si>
  <si>
    <t>PV + grid</t>
  </si>
  <si>
    <t>PV + Storage</t>
  </si>
  <si>
    <t>Solar Home Systems (SHS) - 0 W to 100 W</t>
  </si>
  <si>
    <t>Solar Mini-Grids (SMG) - 30 kW to 300 kW</t>
  </si>
  <si>
    <t>Solar Irrigation Pumping Systems (SIPs) - 1 to 30 kW</t>
  </si>
  <si>
    <t>Solar Street Lighting Systems (SSLS)</t>
  </si>
  <si>
    <t>SSLS Type 2 (Illumination: 20 W)</t>
  </si>
  <si>
    <t>SSLS Type 3  (Illumination:30 W)</t>
  </si>
  <si>
    <t>SSLS Type 4  (Illumination: 40 W)</t>
  </si>
  <si>
    <t>PV + grid + storage (10 kW to 100 kW)</t>
  </si>
  <si>
    <t>Commercial &amp; Industrial Solar Systems (C&amp;I) - 10 kW to 300 kW</t>
  </si>
  <si>
    <t>PV + grid + storage (100 kW to 300 kW)</t>
  </si>
  <si>
    <t>PV</t>
  </si>
  <si>
    <t>40-60%RE Systems: PV + Storage + Diesel + Grid (optional)</t>
  </si>
  <si>
    <t>80-100%RE Systems: PV + Storage + Diesel + Grid (optional)</t>
  </si>
  <si>
    <t>60-80%RE Systems: PV + Storage + Diesel + Grid (optional)</t>
  </si>
  <si>
    <t>System Types (and sub-categories)</t>
  </si>
  <si>
    <t>Solar Mini-Grids (30 kW &lt; x &lt; 300 kW)</t>
  </si>
  <si>
    <t>Size (Wp)</t>
  </si>
  <si>
    <t>USD / km</t>
  </si>
  <si>
    <t>Size (kWp)</t>
  </si>
  <si>
    <t>total_cost_usd</t>
  </si>
  <si>
    <t>system_cost_usd_per_kwp</t>
  </si>
  <si>
    <t>developer</t>
  </si>
  <si>
    <t>site</t>
  </si>
  <si>
    <t>renewable_fraction</t>
  </si>
  <si>
    <t>total_conn</t>
  </si>
  <si>
    <t>distribution_capex_new</t>
  </si>
  <si>
    <t>metering</t>
  </si>
  <si>
    <t>distribution_capex</t>
  </si>
  <si>
    <t>usable_existing_line</t>
  </si>
  <si>
    <t>new_line</t>
  </si>
  <si>
    <t>capex_new</t>
  </si>
  <si>
    <t>capex</t>
  </si>
  <si>
    <t>fuel_consumption</t>
  </si>
  <si>
    <t>pv_kwp2</t>
  </si>
  <si>
    <t>storage_kwh</t>
  </si>
  <si>
    <t>large_users_perc</t>
  </si>
  <si>
    <t>density_usable</t>
  </si>
  <si>
    <t>installation</t>
  </si>
  <si>
    <t>distr_cost_per_km</t>
  </si>
  <si>
    <t>https://www.enfsolar.com/pv/solar-system</t>
  </si>
  <si>
    <t>http://www.europe-solarshop.com/batteries/battery-type/lithium-ion/fronius-solar-battery-6-0-kwh.html</t>
  </si>
  <si>
    <t>Fronius Solar </t>
  </si>
  <si>
    <t>http://www.europe-solarshop.com/batteries/battery-type/lithium-ion/kostal-piko-battery-li-6-sony.html</t>
  </si>
  <si>
    <t>kostal-piko-battery</t>
  </si>
  <si>
    <t>http://www.europe-solarshop.com/batteries/battery-type/lithium-ion/varta-element-6.html</t>
  </si>
  <si>
    <t>Varta Element 6</t>
  </si>
  <si>
    <t>http://www.europe-solarshop.com/batteries/battery-type/lithium-ion/lg-chem-resu6-5.html</t>
  </si>
  <si>
    <t>LG Chem RESU6.5</t>
  </si>
  <si>
    <t>https://www.indiamart.com/proddetail/l-t-1-phase-solar-net-meter-25942315562.html</t>
  </si>
  <si>
    <t>Oriana Solar System LLP</t>
  </si>
  <si>
    <t>https://www.indiamart.com/proddetail/net-meter-solar-meter-bidirectional-meter-single-phase-22033929591.html</t>
  </si>
  <si>
    <t>S S Solar Speciality</t>
  </si>
  <si>
    <t>https://www.indiamart.com/proddetail/5-30amp-single-phase-lprf-msedcl-approved-meter-l-t-by-schneider-electric-india-pvt-ltd-23217354730.html</t>
  </si>
  <si>
    <t>Jaycee Enterprise</t>
  </si>
  <si>
    <t>https://www.indiamart.com/proddetail/single-phase-meter-25682962091.html</t>
  </si>
  <si>
    <t>Shramica Electricals</t>
  </si>
  <si>
    <t>China Source 1</t>
  </si>
  <si>
    <t>Solis</t>
  </si>
  <si>
    <t>pv_mounting_rooftop</t>
  </si>
  <si>
    <t>pv_mounting_ground</t>
  </si>
  <si>
    <t>China Source 2</t>
  </si>
  <si>
    <t>Worldbank Handbook</t>
  </si>
  <si>
    <t>Other</t>
  </si>
  <si>
    <t>https://www.enfsolar.com/pv/mounting-system?</t>
  </si>
  <si>
    <t>Spain</t>
  </si>
  <si>
    <t>USA</t>
  </si>
  <si>
    <t>Solax Power</t>
  </si>
  <si>
    <t>Master Battery, S.L.</t>
  </si>
  <si>
    <t>Inti Photovoltaics</t>
  </si>
  <si>
    <t>Tomma Tech</t>
  </si>
  <si>
    <t>GSL Energy</t>
  </si>
  <si>
    <t>Deye Inverter</t>
  </si>
  <si>
    <t>Inhenergy</t>
  </si>
  <si>
    <t>Huayu New Energy Technologies</t>
  </si>
  <si>
    <t>AtessPower</t>
  </si>
  <si>
    <t>https://kenbrooksolar.com/solar-pump/</t>
  </si>
  <si>
    <t>amazon.de</t>
  </si>
  <si>
    <t>eMylo</t>
  </si>
  <si>
    <t>Ketotek</t>
  </si>
  <si>
    <t>SDM72D</t>
  </si>
  <si>
    <t>ketotek</t>
  </si>
  <si>
    <t>ewelink</t>
  </si>
  <si>
    <t>zmai90</t>
  </si>
  <si>
    <t>WMLBK</t>
  </si>
  <si>
    <t>TM608</t>
  </si>
  <si>
    <t>DRT428DC</t>
  </si>
  <si>
    <t>ORNO</t>
  </si>
  <si>
    <t>wave share</t>
  </si>
  <si>
    <t>LCD Digital Metering</t>
  </si>
  <si>
    <t>imas</t>
  </si>
  <si>
    <t>Nigeria</t>
  </si>
  <si>
    <t>darway</t>
  </si>
  <si>
    <t>abia</t>
  </si>
  <si>
    <t>high</t>
  </si>
  <si>
    <t>agbokim</t>
  </si>
  <si>
    <t>low</t>
  </si>
  <si>
    <t>bendeghe</t>
  </si>
  <si>
    <t>etomi</t>
  </si>
  <si>
    <t>ikang</t>
  </si>
  <si>
    <t>gve</t>
  </si>
  <si>
    <t>itobe</t>
  </si>
  <si>
    <t>acob</t>
  </si>
  <si>
    <t>jengre</t>
  </si>
  <si>
    <t>rubitec</t>
  </si>
  <si>
    <t>kajola</t>
  </si>
  <si>
    <t>sosai</t>
  </si>
  <si>
    <t>kungurki</t>
  </si>
  <si>
    <t>a4t</t>
  </si>
  <si>
    <t>majoda</t>
  </si>
  <si>
    <t>nayo</t>
  </si>
  <si>
    <t>oke_oyi</t>
  </si>
  <si>
    <t>sabon-gari</t>
  </si>
  <si>
    <t>ethiopia_bid</t>
  </si>
  <si>
    <t>Ethiopia</t>
  </si>
  <si>
    <t>Eth-1</t>
  </si>
  <si>
    <t>Oborso East 1</t>
  </si>
  <si>
    <t>Eth-2</t>
  </si>
  <si>
    <t>Oborso East 2</t>
  </si>
  <si>
    <t>Eth-3</t>
  </si>
  <si>
    <t>Oborso East 3</t>
  </si>
  <si>
    <t>Oborso West 1</t>
  </si>
  <si>
    <t>Oborso West 2</t>
  </si>
  <si>
    <t>Oborso West 3</t>
  </si>
  <si>
    <t>Oda 1</t>
  </si>
  <si>
    <t>Oda 2</t>
  </si>
  <si>
    <t>Oda 3</t>
  </si>
  <si>
    <t>Gera 1</t>
  </si>
  <si>
    <t>Gera 2</t>
  </si>
  <si>
    <t>Gera 3</t>
  </si>
  <si>
    <t>Dakuba 1</t>
  </si>
  <si>
    <t>Dakuba 2</t>
  </si>
  <si>
    <t>Dakuba 3</t>
  </si>
  <si>
    <t>Kurtile 1</t>
  </si>
  <si>
    <t>Kurtile 2</t>
  </si>
  <si>
    <t>Kurtile 3</t>
  </si>
  <si>
    <t>AEPC Reference</t>
  </si>
  <si>
    <t>Nepal</t>
  </si>
  <si>
    <t>Bangladesh</t>
  </si>
  <si>
    <t>Cambodia</t>
  </si>
  <si>
    <t>Myanmar</t>
  </si>
  <si>
    <t>myanmar_cfp</t>
  </si>
  <si>
    <t>CfP-3-A-11-15 FS</t>
  </si>
  <si>
    <t>CfP-3-A-11-16 FS</t>
  </si>
  <si>
    <t>CfP-3-A-11-17 FS</t>
  </si>
  <si>
    <t>CfP-3-A-11-18 FS</t>
  </si>
  <si>
    <t>CfP-3-A-11-19 FS</t>
  </si>
  <si>
    <t>CfP-3-A-11-20 FS</t>
  </si>
  <si>
    <t>CfP-3-A-11-21 FS</t>
  </si>
  <si>
    <t>CfP3-A-34-2-RRFS</t>
  </si>
  <si>
    <t>CfP3-A-6-3 RFS</t>
  </si>
  <si>
    <t>CfP3-A-6-4 RFS</t>
  </si>
  <si>
    <t>CfP3-A-6-5 RFS</t>
  </si>
  <si>
    <t>CfP3-A-18-16 FS</t>
  </si>
  <si>
    <t>CfP-3-A-21-41 FS</t>
  </si>
  <si>
    <t>Data Collected</t>
  </si>
  <si>
    <t>September 2022</t>
  </si>
  <si>
    <t>total_cost_inr</t>
  </si>
  <si>
    <t>system_cost_inr_per_kwp</t>
  </si>
  <si>
    <t>Currency Exchange Assumptions</t>
  </si>
  <si>
    <t>Other Currencies</t>
  </si>
  <si>
    <t>1 EUR</t>
  </si>
  <si>
    <t>1 USD</t>
  </si>
  <si>
    <t>1 INR</t>
  </si>
  <si>
    <t>Equivalence in NPR</t>
  </si>
  <si>
    <t>PV Price Benchmarking Tool</t>
  </si>
  <si>
    <t>Introduction:</t>
  </si>
  <si>
    <t xml:space="preserve">The tool is developed to allow benhcmarking of prices for the following PV systems:
</t>
  </si>
  <si>
    <t>The sheet contains the formulas and value for benchmarking the prices of equipment for the different systems. The values come out of the R analysis. Please see the R scripts for further details on calculations of medians and cofficients of logarithmic regression</t>
  </si>
  <si>
    <t>Results:</t>
  </si>
  <si>
    <t>The sheet is the main interface for external user. The grey cells are input cells. Different system sizes and combination of paramaters (e.g., for Mini-Grid) can be provided. The tables then update to provide the resulting cost estimates. The values are further ploted in graphs for use in external reports, etc.</t>
  </si>
  <si>
    <t>Legend:</t>
  </si>
  <si>
    <t>Input Cells: The User needs to provide an input here or select from drop down list</t>
  </si>
  <si>
    <t>Results: The cells with this color provide the final results of the calculation</t>
  </si>
  <si>
    <t>Intermediate Cells: These cells are used for intermediate calculations and should not be changed by the user</t>
  </si>
  <si>
    <t>kushal_quote_1_sunfarmer</t>
  </si>
  <si>
    <t>Nepal Retail Price</t>
  </si>
  <si>
    <t>kushal_quote_2_SMA</t>
  </si>
  <si>
    <t>Sunny Tripower 5000</t>
  </si>
  <si>
    <t>Sunny Tripower 6000</t>
  </si>
  <si>
    <t>Sunny Tripower 7000</t>
  </si>
  <si>
    <t>Sunny Tripower 8000</t>
  </si>
  <si>
    <t>Sunny Tripower 9000</t>
  </si>
  <si>
    <t>Sunny Tripower STP25000TL</t>
  </si>
  <si>
    <t>Sunny tripower STP20000TL</t>
  </si>
  <si>
    <t>Sunny Tropower STP15000TL</t>
  </si>
  <si>
    <t>Sunny Tripower STP10000TL</t>
  </si>
  <si>
    <t>kushal_quote_3_Nipun</t>
  </si>
  <si>
    <t>kushal_quote_4_battery_inverter</t>
  </si>
  <si>
    <t>victron 10kva quattro</t>
  </si>
  <si>
    <t>victron 15 kva quattro</t>
  </si>
  <si>
    <t>victron 5 kva quattro</t>
  </si>
  <si>
    <t>kushal_quote_5_cosmic_solution</t>
  </si>
  <si>
    <t>kushal_quote_6_simple_energy</t>
  </si>
  <si>
    <t>Column2</t>
  </si>
  <si>
    <t>October 2022</t>
  </si>
  <si>
    <t>Price Data:</t>
  </si>
  <si>
    <t>Calculations &amp; Assumptions:</t>
  </si>
  <si>
    <r>
      <t>The sheet allows collection of all input data points which are to be used for the analysis conducted seprarately in Rstudio using R. R is an open source language and environment for statistical computing and graphics. The logic can be downloaded for free here: (</t>
    </r>
    <r>
      <rPr>
        <sz val="10"/>
        <color rgb="FF0070C0"/>
        <rFont val="Calibri"/>
        <family val="2"/>
        <scheme val="minor"/>
      </rPr>
      <t>https://cran.rstudio.com/</t>
    </r>
    <r>
      <rPr>
        <sz val="10"/>
        <color theme="1"/>
        <rFont val="Calibri"/>
        <family val="2"/>
        <scheme val="minor"/>
      </rPr>
      <t>) , while the interface of RStudio can be also downloaded for free here: (</t>
    </r>
    <r>
      <rPr>
        <sz val="10"/>
        <color rgb="FF0070C0"/>
        <rFont val="Calibri"/>
        <family val="2"/>
        <scheme val="minor"/>
      </rPr>
      <t>https://posit.co/products/open-source/rstudio/</t>
    </r>
    <r>
      <rPr>
        <sz val="10"/>
        <color theme="1"/>
        <rFont val="Calibri"/>
        <family val="2"/>
        <scheme val="minor"/>
      </rPr>
      <t>).  The input sheet's tabular format should be maintained since it is read in as a database in R</t>
    </r>
  </si>
  <si>
    <t>* Value in column C of  this row is an output of the analysis conducted in R. The same applied to all other discrete values below that are not justified through an Excel internal formula. 
   For more information regarding R please refer to cell C27 in the 'Intro' sheet.</t>
  </si>
  <si>
    <t>Component Analysis</t>
  </si>
  <si>
    <t>International Data</t>
  </si>
  <si>
    <t>Pre-paid Smart Meter</t>
  </si>
  <si>
    <t>Battery Storage (Lead Acid)</t>
  </si>
  <si>
    <t>USD/meter</t>
  </si>
  <si>
    <t>Nepali Retail 
Price Overcost</t>
  </si>
  <si>
    <t>Size</t>
  </si>
  <si>
    <t>International Data 
(NPR)</t>
  </si>
  <si>
    <t>Nepal Retail Price 
(NPR)</t>
  </si>
  <si>
    <t>*</t>
  </si>
  <si>
    <t>Battery Inverter 10 kW</t>
  </si>
  <si>
    <t>Battery Inverter 25 kW</t>
  </si>
  <si>
    <t>Back-up Diesel Gen 1 kW</t>
  </si>
  <si>
    <t>Back-up Diesel Gen 10 kW</t>
  </si>
  <si>
    <t>Prepaid Smart Meter</t>
  </si>
  <si>
    <t>Solar Panel 50 W</t>
  </si>
  <si>
    <t>Solar Panel 100W</t>
  </si>
  <si>
    <t>Solar Panel 130 W</t>
  </si>
  <si>
    <t>Solar Panel 300 W</t>
  </si>
  <si>
    <t>Solar Panel 350 W</t>
  </si>
  <si>
    <t>Solar Inverter 5 kW</t>
  </si>
  <si>
    <t>Solar Inverter 10 kW</t>
  </si>
  <si>
    <t>Energy meter</t>
  </si>
  <si>
    <r>
      <t xml:space="preserve">60-80%RE Systems: PV + Storage + Diesel + Grid (optional)
</t>
    </r>
    <r>
      <rPr>
        <i/>
        <sz val="10"/>
        <color theme="1" tint="0.249977111117893"/>
        <rFont val="Arial"/>
        <family val="2"/>
      </rPr>
      <t>where up to 80% electricity is supplied by PV source and remaining via diesel or grid</t>
    </r>
  </si>
  <si>
    <r>
      <t xml:space="preserve">40-60%RE Systems: PV + Storage + Diesel + Grid (optional)
</t>
    </r>
    <r>
      <rPr>
        <i/>
        <sz val="10"/>
        <color theme="1" tint="0.249977111117893"/>
        <rFont val="Arial"/>
        <family val="2"/>
      </rPr>
      <t>where up to 60% electricity is supplied by PV source and remaining via diesel or grid</t>
    </r>
  </si>
  <si>
    <r>
      <t xml:space="preserve">80-100%RE Systems: PV + Storage + Diesel + Grid (optional)
</t>
    </r>
    <r>
      <rPr>
        <i/>
        <sz val="10"/>
        <color theme="1" tint="0.249977111117893"/>
        <rFont val="Arial"/>
        <family val="2"/>
      </rPr>
      <t>where up to 100% electricity is supplied by PV source and remaining via diesel or grid</t>
    </r>
  </si>
  <si>
    <r>
      <t xml:space="preserve">PV
</t>
    </r>
    <r>
      <rPr>
        <i/>
        <sz val="10"/>
        <color theme="1" tint="0.249977111117893"/>
        <rFont val="Arial"/>
        <family val="2"/>
      </rPr>
      <t>off-grid isolated SIP</t>
    </r>
  </si>
  <si>
    <r>
      <t xml:space="preserve">PV + Storage
</t>
    </r>
    <r>
      <rPr>
        <i/>
        <sz val="10"/>
        <color theme="1" tint="0.249977111117893"/>
        <rFont val="Arial"/>
        <family val="2"/>
      </rPr>
      <t>off-grid isoloated SIP with storage</t>
    </r>
  </si>
  <si>
    <r>
      <t xml:space="preserve">PV + grid
</t>
    </r>
    <r>
      <rPr>
        <i/>
        <sz val="10"/>
        <color theme="1" tint="0.249977111117893"/>
        <rFont val="Arial"/>
        <family val="2"/>
      </rPr>
      <t>grid-tied PV system</t>
    </r>
  </si>
  <si>
    <r>
      <t xml:space="preserve">PV + grid + storage
</t>
    </r>
    <r>
      <rPr>
        <i/>
        <sz val="10"/>
        <color theme="1" tint="0.249977111117893"/>
        <rFont val="Arial"/>
        <family val="2"/>
      </rPr>
      <t>grid-tied PV system with storage</t>
    </r>
  </si>
  <si>
    <t>Sunny Island SI 6.0H</t>
  </si>
  <si>
    <t>Sunny Island SI 8.0H</t>
  </si>
  <si>
    <t xml:space="preserve"> Storage Li Ion 1.2 kWh</t>
  </si>
  <si>
    <t xml:space="preserve"> Storage Li Ion 4.8 kWh</t>
  </si>
  <si>
    <t>Storage 1.2 kWhFlooded</t>
  </si>
  <si>
    <t>Storage 2.4 kWh Flooded</t>
  </si>
  <si>
    <t>Storage 1.2 kWh Gel</t>
  </si>
  <si>
    <t>Storage 2.4 kWh Gel</t>
  </si>
  <si>
    <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</si>
</sst>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0.00000"/>
    <numFmt numFmtId="165" formatCode="_-* #,##0_-;\-* #,##0_-;_-* &quot;-&quot;??_-;_-@_-"/>
    <numFmt numFmtId="166" formatCode="0.0%"/>
    <numFmt numFmtId="167" formatCode="[$$-409]#,##0"/>
    <numFmt numFmtId="168" formatCode="_(* #,##0_);_(* \(#,##0\);_(* &quot;-&quot;??_);_(@_)"/>
    <numFmt numFmtId="169" formatCode="_-* #,##0.00\ _€_-;\-* #,##0.00\ _€_-;_-* &quot;-&quot;??\ _€_-;_-@_-"/>
    <numFmt numFmtId="170" formatCode="_(* #,##0.0_);_(* \(#,##0.0\);_(* &quot;-&quot;??_);_(@_)"/>
    <numFmt numFmtId="171" formatCode="0.0"/>
    <numFmt numFmtId="172" formatCode="#,##0.0"/>
  </numFmts>
  <fonts count="21" x14ac:knownFonts="1">
    <font>
      <sz val="11"/>
      <color theme="1"/>
      <name val="Calibri"/>
      <family val="2"/>
      <scheme val="minor"/>
    </font>
    <font>
      <sz val="10"/>
      <color rgb="FFFFFFFF"/>
      <name val="Arial"/>
      <family val="2"/>
    </font>
    <font>
      <sz val="10"/>
      <color theme="1"/>
      <name val="Arial"/>
      <family val="2"/>
    </font>
    <font>
      <sz val="8"/>
      <name val="Calibri"/>
      <family val="2"/>
      <scheme val="minor"/>
    </font>
    <font>
      <b/>
      <sz val="10"/>
      <color rgb="FFFFFFFF"/>
      <name val="Arial"/>
      <family val="2"/>
    </font>
    <font>
      <sz val="12"/>
      <color theme="1"/>
      <name val="Arial"/>
      <family val="2"/>
    </font>
    <font>
      <b/>
      <sz val="12"/>
      <color theme="1"/>
      <name val="Arial"/>
      <family val="2"/>
    </font>
    <font>
      <sz val="12"/>
      <color theme="1"/>
      <name val="Calibri"/>
      <family val="2"/>
      <scheme val="minor"/>
    </font>
    <font>
      <u/>
      <sz val="11"/>
      <color theme="10"/>
      <name val="Calibri"/>
      <family val="2"/>
      <scheme val="minor"/>
    </font>
    <font>
      <sz val="11"/>
      <color theme="1"/>
      <name val="Calibri"/>
      <family val="2"/>
      <scheme val="minor"/>
    </font>
    <font>
      <b/>
      <sz val="10"/>
      <color theme="0"/>
      <name val="Calibri"/>
      <family val="2"/>
      <scheme val="minor"/>
    </font>
    <font>
      <sz val="10"/>
      <color theme="1"/>
      <name val="Calibri"/>
      <family val="2"/>
      <scheme val="minor"/>
    </font>
    <font>
      <b/>
      <sz val="10"/>
      <color theme="1"/>
      <name val="Calibri"/>
      <family val="2"/>
      <scheme val="minor"/>
    </font>
    <font>
      <b/>
      <sz val="10"/>
      <name val="Calibri"/>
      <family val="2"/>
      <scheme val="minor"/>
    </font>
    <font>
      <sz val="10"/>
      <color theme="0"/>
      <name val="Calibri"/>
      <family val="2"/>
      <scheme val="minor"/>
    </font>
    <font>
      <sz val="10"/>
      <name val="Calibri"/>
      <family val="2"/>
      <scheme val="minor"/>
    </font>
    <font>
      <b/>
      <sz val="12"/>
      <color rgb="FFFFFFFF"/>
      <name val="Arial"/>
      <family val="2"/>
    </font>
    <font>
      <b/>
      <sz val="10"/>
      <color rgb="FF009959"/>
      <name val="Calibri"/>
      <family val="2"/>
      <scheme val="minor"/>
    </font>
    <font>
      <sz val="10"/>
      <color rgb="FF009959"/>
      <name val="Calibri"/>
      <family val="2"/>
      <scheme val="minor"/>
    </font>
    <font>
      <sz val="10"/>
      <color rgb="FF0070C0"/>
      <name val="Calibri"/>
      <family val="2"/>
      <scheme val="minor"/>
    </font>
    <font>
      <i/>
      <sz val="10"/>
      <color theme="1" tint="0.249977111117893"/>
      <name val="Arial"/>
      <family val="2"/>
    </font>
  </fonts>
  <fills count="15">
    <fill>
      <patternFill patternType="none"/>
    </fill>
    <fill>
      <patternFill patternType="gray125"/>
    </fill>
    <fill>
      <patternFill patternType="solid">
        <fgColor rgb="FF009959"/>
        <bgColor indexed="64"/>
      </patternFill>
    </fill>
    <fill>
      <patternFill patternType="solid">
        <fgColor rgb="FF00B050"/>
        <bgColor indexed="64"/>
      </patternFill>
    </fill>
    <fill>
      <patternFill patternType="solid">
        <fgColor theme="0" tint="-4.9989318521683403E-2"/>
        <bgColor indexed="64"/>
      </patternFill>
    </fill>
    <fill>
      <patternFill patternType="solid">
        <fgColor theme="6" tint="-0.249977111117893"/>
        <bgColor indexed="64"/>
      </patternFill>
    </fill>
    <fill>
      <patternFill patternType="solid">
        <fgColor theme="2" tint="-0.249977111117893"/>
        <bgColor indexed="64"/>
      </patternFill>
    </fill>
    <fill>
      <patternFill patternType="solid">
        <fgColor rgb="FFFFFF00"/>
        <bgColor indexed="64"/>
      </patternFill>
    </fill>
    <fill>
      <patternFill patternType="solid">
        <fgColor theme="2"/>
        <bgColor indexed="64"/>
      </patternFill>
    </fill>
    <fill>
      <patternFill patternType="solid">
        <fgColor theme="0" tint="-0.14999847407452621"/>
        <bgColor indexed="64"/>
      </patternFill>
    </fill>
    <fill>
      <patternFill patternType="solid">
        <fgColor rgb="FFE2EFDA"/>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34998626667073579"/>
        <bgColor indexed="64"/>
      </patternFill>
    </fill>
  </fills>
  <borders count="24">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bottom style="medium">
        <color rgb="FFCCCCCC"/>
      </bottom>
      <diagonal/>
    </border>
    <border>
      <left style="medium">
        <color rgb="FFCCCCCC"/>
      </left>
      <right style="medium">
        <color rgb="FFCCCCCC"/>
      </right>
      <top style="medium">
        <color rgb="FFCCCCCC"/>
      </top>
      <bottom/>
      <diagonal/>
    </border>
    <border>
      <left/>
      <right style="medium">
        <color rgb="FFCCCCCC"/>
      </right>
      <top style="medium">
        <color rgb="FFCCCCCC"/>
      </top>
      <bottom style="medium">
        <color rgb="FFCCCCCC"/>
      </bottom>
      <diagonal/>
    </border>
    <border>
      <left/>
      <right style="medium">
        <color rgb="FFCCCCCC"/>
      </right>
      <top/>
      <bottom style="medium">
        <color rgb="FFCCCCCC"/>
      </bottom>
      <diagonal/>
    </border>
    <border>
      <left style="medium">
        <color rgb="FFCCCCCC"/>
      </left>
      <right style="medium">
        <color rgb="FFCCCCCC"/>
      </right>
      <top/>
      <bottom style="medium">
        <color rgb="FFCCCCCC"/>
      </bottom>
      <diagonal/>
    </border>
    <border>
      <left style="medium">
        <color rgb="FFCCCCCC"/>
      </left>
      <right/>
      <top style="medium">
        <color rgb="FFCCCCCC"/>
      </top>
      <bottom/>
      <diagonal/>
    </border>
    <border>
      <left style="medium">
        <color rgb="FFCCCCCC"/>
      </left>
      <right/>
      <top style="medium">
        <color rgb="FFCCCCCC"/>
      </top>
      <bottom style="medium">
        <color rgb="FFCCCCCC"/>
      </bottom>
      <diagonal/>
    </border>
    <border>
      <left/>
      <right style="medium">
        <color rgb="FFCCCCCC"/>
      </right>
      <top style="medium">
        <color rgb="FFCCCCCC"/>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medium">
        <color indexed="64"/>
      </right>
      <top/>
      <bottom style="medium">
        <color indexed="64"/>
      </bottom>
      <diagonal/>
    </border>
    <border>
      <left/>
      <right/>
      <top/>
      <bottom style="thin">
        <color theme="0"/>
      </bottom>
      <diagonal/>
    </border>
    <border>
      <left/>
      <right/>
      <top style="thin">
        <color theme="0"/>
      </top>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0"/>
      </left>
      <right style="thin">
        <color theme="0"/>
      </right>
      <top style="thin">
        <color theme="0"/>
      </top>
      <bottom/>
      <diagonal/>
    </border>
    <border>
      <left style="thin">
        <color theme="0"/>
      </left>
      <right style="thin">
        <color theme="0"/>
      </right>
      <top/>
      <bottom/>
      <diagonal/>
    </border>
  </borders>
  <cellStyleXfs count="4">
    <xf numFmtId="0" fontId="0" fillId="0" borderId="0"/>
    <xf numFmtId="0" fontId="8" fillId="0" borderId="0" applyNumberFormat="0" applyFill="0" applyBorder="0" applyAlignment="0" applyProtection="0"/>
    <xf numFmtId="43" fontId="9" fillId="0" borderId="0" applyFont="0" applyFill="0" applyBorder="0" applyAlignment="0" applyProtection="0"/>
    <xf numFmtId="9" fontId="9" fillId="0" borderId="0" applyFont="0" applyFill="0" applyBorder="0" applyAlignment="0" applyProtection="0"/>
  </cellStyleXfs>
  <cellXfs count="141">
    <xf numFmtId="0" fontId="0" fillId="0" borderId="0" xfId="0"/>
    <xf numFmtId="0" fontId="2" fillId="0" borderId="1" xfId="0" applyFont="1" applyBorder="1" applyAlignment="1">
      <alignment horizontal="center" wrapText="1"/>
    </xf>
    <xf numFmtId="0" fontId="1" fillId="2" borderId="2" xfId="0" applyFont="1" applyFill="1" applyBorder="1" applyAlignment="1">
      <alignment horizontal="center" wrapText="1"/>
    </xf>
    <xf numFmtId="0" fontId="2" fillId="0" borderId="4" xfId="0" applyFont="1" applyBorder="1" applyAlignment="1">
      <alignment horizont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0" borderId="8" xfId="0" applyFont="1" applyBorder="1" applyAlignment="1">
      <alignment horizontal="center" wrapText="1"/>
    </xf>
    <xf numFmtId="0" fontId="1" fillId="2" borderId="5" xfId="0" applyFont="1" applyFill="1" applyBorder="1" applyAlignment="1">
      <alignment horizontal="center" wrapText="1"/>
    </xf>
    <xf numFmtId="0" fontId="1" fillId="2" borderId="6" xfId="0" applyFont="1" applyFill="1" applyBorder="1" applyAlignment="1">
      <alignment horizontal="center" wrapText="1"/>
    </xf>
    <xf numFmtId="0" fontId="1" fillId="2" borderId="6" xfId="0" applyFont="1" applyFill="1" applyBorder="1" applyAlignment="1">
      <alignment wrapText="1"/>
    </xf>
    <xf numFmtId="0" fontId="2" fillId="0" borderId="9" xfId="0" applyFont="1" applyBorder="1" applyAlignment="1">
      <alignment horizontal="center" wrapText="1"/>
    </xf>
    <xf numFmtId="0" fontId="2" fillId="0" borderId="3" xfId="0" applyFont="1" applyBorder="1" applyAlignment="1">
      <alignment horizontal="center" wrapText="1"/>
    </xf>
    <xf numFmtId="0" fontId="2" fillId="0" borderId="7" xfId="0" applyFont="1" applyBorder="1" applyAlignment="1">
      <alignment horizontal="center" wrapText="1"/>
    </xf>
    <xf numFmtId="0" fontId="7" fillId="0" borderId="0" xfId="0" applyFont="1" applyAlignment="1">
      <alignment vertical="center"/>
    </xf>
    <xf numFmtId="0" fontId="2" fillId="0" borderId="6" xfId="0" applyFont="1" applyBorder="1" applyAlignment="1">
      <alignment horizontal="center" wrapText="1"/>
    </xf>
    <xf numFmtId="0" fontId="1" fillId="2" borderId="3" xfId="0" applyFont="1" applyFill="1" applyBorder="1" applyAlignment="1">
      <alignment horizontal="center" wrapText="1"/>
    </xf>
    <xf numFmtId="4" fontId="2" fillId="0" borderId="4" xfId="0" applyNumberFormat="1" applyFont="1" applyBorder="1" applyAlignment="1">
      <alignment horizontal="center" wrapText="1"/>
    </xf>
    <xf numFmtId="1" fontId="2" fillId="0" borderId="4" xfId="0" applyNumberFormat="1" applyFont="1" applyBorder="1" applyAlignment="1">
      <alignment horizontal="center" wrapText="1"/>
    </xf>
    <xf numFmtId="0" fontId="2" fillId="7" borderId="4" xfId="0" applyFont="1" applyFill="1" applyBorder="1" applyAlignment="1">
      <alignment horizontal="center" wrapText="1"/>
    </xf>
    <xf numFmtId="0" fontId="2" fillId="7" borderId="1" xfId="0" applyFont="1" applyFill="1" applyBorder="1" applyAlignment="1">
      <alignment horizontal="center" wrapText="1"/>
    </xf>
    <xf numFmtId="2" fontId="0" fillId="0" borderId="10" xfId="0" applyNumberFormat="1" applyBorder="1"/>
    <xf numFmtId="164" fontId="0" fillId="0" borderId="10" xfId="0" applyNumberFormat="1" applyBorder="1"/>
    <xf numFmtId="0" fontId="2" fillId="8" borderId="1" xfId="0" applyFont="1" applyFill="1" applyBorder="1" applyAlignment="1">
      <alignment horizontal="center" wrapText="1"/>
    </xf>
    <xf numFmtId="0" fontId="2" fillId="8" borderId="4" xfId="0" applyFont="1" applyFill="1" applyBorder="1" applyAlignment="1">
      <alignment horizontal="center" wrapText="1"/>
    </xf>
    <xf numFmtId="0" fontId="8" fillId="0" borderId="4" xfId="1" applyBorder="1" applyAlignment="1">
      <alignment horizontal="center" wrapText="1"/>
    </xf>
    <xf numFmtId="0" fontId="2" fillId="0" borderId="4" xfId="0" applyFont="1" applyBorder="1" applyAlignment="1">
      <alignment horizontal="center"/>
    </xf>
    <xf numFmtId="0" fontId="2" fillId="0" borderId="4" xfId="0" applyFont="1" applyBorder="1" applyAlignment="1">
      <alignment horizontal="left"/>
    </xf>
    <xf numFmtId="0" fontId="2" fillId="0" borderId="1" xfId="0" applyFont="1" applyBorder="1" applyAlignment="1">
      <alignment horizontal="left"/>
    </xf>
    <xf numFmtId="0" fontId="8" fillId="0" borderId="4" xfId="1" applyBorder="1" applyAlignment="1">
      <alignment horizontal="left"/>
    </xf>
    <xf numFmtId="0" fontId="8" fillId="0" borderId="4" xfId="1" applyBorder="1" applyAlignment="1"/>
    <xf numFmtId="0" fontId="2" fillId="10" borderId="1" xfId="0" applyFont="1" applyFill="1" applyBorder="1" applyAlignment="1">
      <alignment horizontal="center" wrapText="1"/>
    </xf>
    <xf numFmtId="0" fontId="2" fillId="11" borderId="1" xfId="0" applyFont="1" applyFill="1" applyBorder="1" applyAlignment="1">
      <alignment horizontal="center" wrapText="1"/>
    </xf>
    <xf numFmtId="0" fontId="2" fillId="0" borderId="1" xfId="0" applyFont="1" applyBorder="1" applyAlignment="1">
      <alignment wrapText="1"/>
    </xf>
    <xf numFmtId="0" fontId="11" fillId="0" borderId="11" xfId="0" applyFont="1" applyBorder="1"/>
    <xf numFmtId="0" fontId="11" fillId="4" borderId="13" xfId="0" applyFont="1" applyFill="1" applyBorder="1"/>
    <xf numFmtId="0" fontId="10" fillId="2" borderId="16" xfId="0" applyFont="1" applyFill="1" applyBorder="1"/>
    <xf numFmtId="0" fontId="11" fillId="4" borderId="17" xfId="0" applyFont="1" applyFill="1" applyBorder="1"/>
    <xf numFmtId="0" fontId="11" fillId="0" borderId="11" xfId="0" applyFont="1" applyBorder="1" applyAlignment="1">
      <alignment vertical="center"/>
    </xf>
    <xf numFmtId="0" fontId="10" fillId="2" borderId="11" xfId="0" applyFont="1" applyFill="1" applyBorder="1" applyAlignment="1">
      <alignment horizontal="center" vertical="center"/>
    </xf>
    <xf numFmtId="0" fontId="12" fillId="9" borderId="11" xfId="0" applyFont="1" applyFill="1" applyBorder="1" applyAlignment="1">
      <alignment horizontal="center" vertical="center"/>
    </xf>
    <xf numFmtId="1" fontId="11" fillId="4" borderId="11" xfId="0" applyNumberFormat="1" applyFont="1" applyFill="1" applyBorder="1" applyAlignment="1">
      <alignment horizontal="center" vertical="center"/>
    </xf>
    <xf numFmtId="0" fontId="11" fillId="4" borderId="11" xfId="0" applyFont="1" applyFill="1" applyBorder="1" applyAlignment="1">
      <alignment horizontal="center" vertical="center"/>
    </xf>
    <xf numFmtId="165" fontId="11" fillId="4" borderId="11" xfId="2" applyNumberFormat="1" applyFont="1" applyFill="1" applyBorder="1" applyAlignment="1">
      <alignment horizontal="center" vertical="center"/>
    </xf>
    <xf numFmtId="0" fontId="11" fillId="0" borderId="12" xfId="0"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13" fillId="12" borderId="11" xfId="0" applyFont="1" applyFill="1" applyBorder="1" applyAlignment="1">
      <alignment horizontal="center" vertical="center"/>
    </xf>
    <xf numFmtId="1" fontId="12" fillId="4" borderId="11" xfId="0" applyNumberFormat="1" applyFont="1" applyFill="1" applyBorder="1" applyAlignment="1">
      <alignment horizontal="center" vertical="center"/>
    </xf>
    <xf numFmtId="167" fontId="11" fillId="4" borderId="11" xfId="0" applyNumberFormat="1" applyFont="1" applyFill="1" applyBorder="1" applyAlignment="1">
      <alignment horizontal="center" vertical="center"/>
    </xf>
    <xf numFmtId="0" fontId="14" fillId="2" borderId="12" xfId="0" applyFont="1" applyFill="1" applyBorder="1" applyAlignment="1">
      <alignment horizontal="center" vertical="center"/>
    </xf>
    <xf numFmtId="0" fontId="14" fillId="2" borderId="13" xfId="0" applyFont="1" applyFill="1" applyBorder="1" applyAlignment="1">
      <alignment vertical="center"/>
    </xf>
    <xf numFmtId="0" fontId="14" fillId="2" borderId="14" xfId="0" applyFont="1" applyFill="1" applyBorder="1" applyAlignment="1">
      <alignment vertical="center"/>
    </xf>
    <xf numFmtId="0" fontId="10" fillId="2" borderId="12" xfId="0" applyFont="1" applyFill="1" applyBorder="1" applyAlignment="1">
      <alignment horizontal="center" vertical="center"/>
    </xf>
    <xf numFmtId="9" fontId="11" fillId="4" borderId="11" xfId="3" applyFont="1" applyFill="1" applyBorder="1" applyAlignment="1">
      <alignment horizontal="center" vertical="center"/>
    </xf>
    <xf numFmtId="168" fontId="11" fillId="4" borderId="11" xfId="0" applyNumberFormat="1" applyFont="1" applyFill="1" applyBorder="1" applyAlignment="1">
      <alignment vertical="center"/>
    </xf>
    <xf numFmtId="168" fontId="11" fillId="9" borderId="11" xfId="0" applyNumberFormat="1" applyFont="1" applyFill="1" applyBorder="1" applyAlignment="1">
      <alignment vertical="center"/>
    </xf>
    <xf numFmtId="168" fontId="10" fillId="13" borderId="11" xfId="2" applyNumberFormat="1" applyFont="1" applyFill="1" applyBorder="1" applyAlignment="1">
      <alignment vertical="center"/>
    </xf>
    <xf numFmtId="168" fontId="15" fillId="4" borderId="11" xfId="2" applyNumberFormat="1" applyFont="1" applyFill="1" applyBorder="1" applyAlignment="1">
      <alignment horizontal="center" vertical="center"/>
    </xf>
    <xf numFmtId="169" fontId="11" fillId="0" borderId="11" xfId="0" applyNumberFormat="1" applyFont="1" applyBorder="1" applyAlignment="1">
      <alignment vertical="center"/>
    </xf>
    <xf numFmtId="168" fontId="10" fillId="13" borderId="11" xfId="2" applyNumberFormat="1" applyFont="1" applyFill="1" applyBorder="1" applyAlignment="1">
      <alignment horizontal="center" vertical="center"/>
    </xf>
    <xf numFmtId="168" fontId="11" fillId="0" borderId="11" xfId="0" applyNumberFormat="1" applyFont="1" applyBorder="1" applyAlignment="1">
      <alignment vertical="center"/>
    </xf>
    <xf numFmtId="171" fontId="11" fillId="4" borderId="11" xfId="0" applyNumberFormat="1" applyFont="1" applyFill="1" applyBorder="1" applyAlignment="1">
      <alignment horizontal="center" vertical="center"/>
    </xf>
    <xf numFmtId="170" fontId="10" fillId="13" borderId="11" xfId="2" applyNumberFormat="1" applyFont="1" applyFill="1" applyBorder="1" applyAlignment="1">
      <alignment vertical="center"/>
    </xf>
    <xf numFmtId="0" fontId="11" fillId="0" borderId="18" xfId="0" applyFont="1" applyBorder="1" applyAlignment="1">
      <alignment vertical="center"/>
    </xf>
    <xf numFmtId="0" fontId="16" fillId="2" borderId="18"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0" borderId="18" xfId="0" applyFont="1" applyBorder="1" applyAlignment="1">
      <alignment horizontal="center" vertical="center" wrapText="1"/>
    </xf>
    <xf numFmtId="0" fontId="16" fillId="2" borderId="18" xfId="0" applyFont="1" applyFill="1" applyBorder="1" applyAlignment="1">
      <alignment horizontal="center" vertical="center" textRotation="90" wrapText="1"/>
    </xf>
    <xf numFmtId="0" fontId="4" fillId="5" borderId="11"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0" borderId="11" xfId="0" applyFont="1" applyBorder="1" applyAlignment="1">
      <alignment horizontal="center" vertical="center" wrapText="1"/>
    </xf>
    <xf numFmtId="168" fontId="11" fillId="4" borderId="13" xfId="0" applyNumberFormat="1" applyFont="1" applyFill="1" applyBorder="1" applyAlignment="1">
      <alignment horizontal="center" vertical="center"/>
    </xf>
    <xf numFmtId="0" fontId="10" fillId="2" borderId="13" xfId="0" applyFont="1" applyFill="1" applyBorder="1" applyAlignment="1">
      <alignment horizontal="center" vertical="center"/>
    </xf>
    <xf numFmtId="168" fontId="11" fillId="4" borderId="11" xfId="0" applyNumberFormat="1" applyFont="1" applyFill="1" applyBorder="1" applyAlignment="1">
      <alignment horizontal="center" vertical="center"/>
    </xf>
    <xf numFmtId="9" fontId="1" fillId="2" borderId="6" xfId="0" applyNumberFormat="1" applyFont="1" applyFill="1" applyBorder="1" applyAlignment="1">
      <alignment horizontal="center" wrapText="1"/>
    </xf>
    <xf numFmtId="2" fontId="2" fillId="8" borderId="4" xfId="0" applyNumberFormat="1" applyFont="1" applyFill="1" applyBorder="1" applyAlignment="1">
      <alignment horizontal="center" wrapText="1"/>
    </xf>
    <xf numFmtId="0" fontId="0" fillId="0" borderId="4" xfId="0" applyBorder="1"/>
    <xf numFmtId="3" fontId="2" fillId="0" borderId="4" xfId="0" applyNumberFormat="1" applyFont="1" applyBorder="1" applyAlignment="1">
      <alignment horizontal="center" wrapText="1"/>
    </xf>
    <xf numFmtId="0" fontId="8" fillId="0" borderId="4" xfId="1" applyBorder="1"/>
    <xf numFmtId="3" fontId="2" fillId="0" borderId="4" xfId="0" applyNumberFormat="1" applyFont="1" applyBorder="1" applyAlignment="1">
      <alignment horizontal="left"/>
    </xf>
    <xf numFmtId="0" fontId="8" fillId="0" borderId="4" xfId="1" applyBorder="1" applyAlignment="1">
      <alignment vertical="center"/>
    </xf>
    <xf numFmtId="0" fontId="8" fillId="0" borderId="4" xfId="1" applyBorder="1" applyAlignment="1">
      <alignment horizontal="center"/>
    </xf>
    <xf numFmtId="0" fontId="2" fillId="0" borderId="0" xfId="0" applyFont="1" applyAlignment="1">
      <alignment horizontal="center" wrapText="1"/>
    </xf>
    <xf numFmtId="0" fontId="0" fillId="0" borderId="1" xfId="0" applyBorder="1"/>
    <xf numFmtId="0" fontId="5" fillId="0" borderId="1" xfId="0" applyFont="1" applyBorder="1" applyAlignment="1">
      <alignment horizontal="center" wrapText="1"/>
    </xf>
    <xf numFmtId="0" fontId="2" fillId="0" borderId="15" xfId="0" applyFont="1" applyBorder="1" applyAlignment="1">
      <alignment horizontal="center" wrapText="1"/>
    </xf>
    <xf numFmtId="0" fontId="2" fillId="0" borderId="4" xfId="0" applyFont="1" applyBorder="1" applyAlignment="1">
      <alignment wrapText="1"/>
    </xf>
    <xf numFmtId="4" fontId="2" fillId="0" borderId="1" xfId="0" applyNumberFormat="1" applyFont="1" applyBorder="1" applyAlignment="1">
      <alignment horizontal="center" wrapText="1"/>
    </xf>
    <xf numFmtId="1" fontId="2" fillId="0" borderId="1" xfId="0" applyNumberFormat="1" applyFont="1" applyBorder="1" applyAlignment="1">
      <alignment horizontal="center" wrapText="1"/>
    </xf>
    <xf numFmtId="3" fontId="12" fillId="4" borderId="11" xfId="0" applyNumberFormat="1" applyFont="1" applyFill="1" applyBorder="1" applyAlignment="1">
      <alignment horizontal="center" vertical="center"/>
    </xf>
    <xf numFmtId="0" fontId="10" fillId="2" borderId="11" xfId="0" applyFont="1" applyFill="1" applyBorder="1" applyAlignment="1">
      <alignment vertical="center" wrapText="1"/>
    </xf>
    <xf numFmtId="0" fontId="11" fillId="0" borderId="22" xfId="0" applyFont="1" applyBorder="1" applyAlignment="1">
      <alignment vertical="center"/>
    </xf>
    <xf numFmtId="0" fontId="17" fillId="4" borderId="0" xfId="0" applyFont="1" applyFill="1" applyAlignment="1">
      <alignment vertical="center"/>
    </xf>
    <xf numFmtId="0" fontId="11" fillId="4" borderId="0" xfId="0" applyFont="1" applyFill="1" applyAlignment="1">
      <alignment vertical="center" wrapText="1"/>
    </xf>
    <xf numFmtId="0" fontId="18" fillId="4" borderId="0" xfId="0" applyFont="1" applyFill="1" applyAlignment="1">
      <alignment vertical="center"/>
    </xf>
    <xf numFmtId="0" fontId="11" fillId="4" borderId="0" xfId="0" applyFont="1" applyFill="1" applyAlignment="1">
      <alignment horizontal="left" vertical="center" indent="1"/>
    </xf>
    <xf numFmtId="0" fontId="11" fillId="0" borderId="23" xfId="0" applyFont="1" applyBorder="1" applyAlignment="1">
      <alignment vertical="center"/>
    </xf>
    <xf numFmtId="168" fontId="14" fillId="13" borderId="11" xfId="2" applyNumberFormat="1" applyFont="1" applyFill="1" applyBorder="1" applyAlignment="1">
      <alignment horizontal="center" vertical="center"/>
    </xf>
    <xf numFmtId="9" fontId="14" fillId="13" borderId="11" xfId="3" applyFont="1" applyFill="1" applyBorder="1" applyAlignment="1">
      <alignment horizontal="center" vertical="center"/>
    </xf>
    <xf numFmtId="43" fontId="14" fillId="13" borderId="11" xfId="2" applyFont="1" applyFill="1" applyBorder="1" applyAlignment="1">
      <alignment horizontal="center" vertical="center"/>
    </xf>
    <xf numFmtId="1" fontId="14" fillId="13" borderId="11" xfId="0" applyNumberFormat="1" applyFont="1" applyFill="1" applyBorder="1" applyAlignment="1">
      <alignment horizontal="center" vertical="center"/>
    </xf>
    <xf numFmtId="171" fontId="14" fillId="13" borderId="11" xfId="0" applyNumberFormat="1" applyFont="1" applyFill="1" applyBorder="1" applyAlignment="1">
      <alignment horizontal="center" vertical="center"/>
    </xf>
    <xf numFmtId="3" fontId="14" fillId="13" borderId="11" xfId="0" applyNumberFormat="1" applyFont="1" applyFill="1" applyBorder="1" applyAlignment="1">
      <alignment horizontal="center" vertical="center"/>
    </xf>
    <xf numFmtId="9" fontId="14" fillId="13" borderId="11" xfId="0" applyNumberFormat="1" applyFont="1" applyFill="1" applyBorder="1" applyAlignment="1">
      <alignment horizontal="center" vertical="center"/>
    </xf>
    <xf numFmtId="166" fontId="14" fillId="13" borderId="11" xfId="0" applyNumberFormat="1" applyFont="1" applyFill="1" applyBorder="1" applyAlignment="1">
      <alignment horizontal="center" vertical="center"/>
    </xf>
    <xf numFmtId="168" fontId="11" fillId="9" borderId="11" xfId="0" applyNumberFormat="1" applyFont="1" applyFill="1" applyBorder="1" applyAlignment="1">
      <alignment horizontal="left" vertical="center"/>
    </xf>
    <xf numFmtId="168" fontId="11" fillId="4" borderId="11" xfId="0" applyNumberFormat="1" applyFont="1" applyFill="1" applyBorder="1" applyAlignment="1">
      <alignment horizontal="left" vertical="center"/>
    </xf>
    <xf numFmtId="168" fontId="14" fillId="13" borderId="11" xfId="0" applyNumberFormat="1" applyFont="1" applyFill="1" applyBorder="1" applyAlignment="1">
      <alignment horizontal="left" vertical="center"/>
    </xf>
    <xf numFmtId="0" fontId="2" fillId="8" borderId="3" xfId="0" applyFont="1" applyFill="1" applyBorder="1" applyAlignment="1">
      <alignment horizontal="center" wrapText="1"/>
    </xf>
    <xf numFmtId="1" fontId="11" fillId="4" borderId="11" xfId="3" applyNumberFormat="1" applyFont="1" applyFill="1" applyBorder="1" applyAlignment="1">
      <alignment horizontal="center" vertical="center"/>
    </xf>
    <xf numFmtId="172" fontId="14" fillId="13" borderId="11" xfId="2" applyNumberFormat="1" applyFont="1" applyFill="1" applyBorder="1" applyAlignment="1">
      <alignment horizontal="center" vertical="center"/>
    </xf>
    <xf numFmtId="1" fontId="2" fillId="8" borderId="4" xfId="0" applyNumberFormat="1" applyFont="1" applyFill="1" applyBorder="1" applyAlignment="1">
      <alignment horizontal="center" wrapText="1"/>
    </xf>
    <xf numFmtId="9" fontId="11" fillId="4" borderId="12" xfId="3" applyFont="1" applyFill="1" applyBorder="1" applyAlignment="1">
      <alignment horizontal="center" vertical="center"/>
    </xf>
    <xf numFmtId="0" fontId="12" fillId="9" borderId="12" xfId="0" applyFont="1" applyFill="1" applyBorder="1" applyAlignment="1">
      <alignment horizontal="center" vertical="center" wrapText="1"/>
    </xf>
    <xf numFmtId="9" fontId="14" fillId="0" borderId="11" xfId="0" applyNumberFormat="1" applyFont="1" applyBorder="1" applyAlignment="1">
      <alignment vertical="center"/>
    </xf>
    <xf numFmtId="0" fontId="14" fillId="0" borderId="13" xfId="0" applyFont="1" applyBorder="1" applyAlignment="1">
      <alignment vertical="center"/>
    </xf>
    <xf numFmtId="0" fontId="12" fillId="9" borderId="11" xfId="0" applyFont="1" applyFill="1" applyBorder="1" applyAlignment="1">
      <alignment horizontal="center" vertical="center" wrapText="1"/>
    </xf>
    <xf numFmtId="171" fontId="11" fillId="4" borderId="11" xfId="3" applyNumberFormat="1" applyFont="1" applyFill="1" applyBorder="1" applyAlignment="1">
      <alignment horizontal="center" vertical="center"/>
    </xf>
    <xf numFmtId="2" fontId="11" fillId="4" borderId="11" xfId="3" applyNumberFormat="1" applyFont="1" applyFill="1" applyBorder="1" applyAlignment="1">
      <alignment horizontal="center" vertical="center"/>
    </xf>
    <xf numFmtId="3" fontId="11" fillId="4" borderId="11" xfId="3" applyNumberFormat="1" applyFont="1" applyFill="1" applyBorder="1" applyAlignment="1">
      <alignment horizontal="right" vertical="center"/>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2"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3" xfId="0" applyFont="1" applyFill="1" applyBorder="1" applyAlignment="1">
      <alignment horizontal="center" vertical="center"/>
    </xf>
    <xf numFmtId="0" fontId="11" fillId="0" borderId="12" xfId="0" applyFont="1" applyBorder="1" applyAlignment="1">
      <alignment horizontal="left"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2" fillId="12" borderId="12" xfId="0" applyFont="1" applyFill="1" applyBorder="1" applyAlignment="1">
      <alignment horizontal="center" vertical="center"/>
    </xf>
    <xf numFmtId="0" fontId="12" fillId="12" borderId="14" xfId="0" applyFont="1" applyFill="1" applyBorder="1" applyAlignment="1">
      <alignment horizontal="center" vertical="center"/>
    </xf>
    <xf numFmtId="0" fontId="10" fillId="2" borderId="14" xfId="0" applyFont="1" applyFill="1" applyBorder="1" applyAlignment="1">
      <alignment horizontal="center" vertical="center" wrapText="1"/>
    </xf>
    <xf numFmtId="0" fontId="12" fillId="9" borderId="12" xfId="0" applyFont="1" applyFill="1" applyBorder="1" applyAlignment="1">
      <alignment horizontal="center" vertical="center"/>
    </xf>
    <xf numFmtId="0" fontId="12" fillId="9" borderId="13" xfId="0" applyFont="1" applyFill="1" applyBorder="1" applyAlignment="1">
      <alignment horizontal="center" vertical="center"/>
    </xf>
    <xf numFmtId="0" fontId="12" fillId="9" borderId="14" xfId="0" applyFont="1" applyFill="1" applyBorder="1" applyAlignment="1">
      <alignment horizontal="center" vertical="center"/>
    </xf>
    <xf numFmtId="0" fontId="12" fillId="14" borderId="12" xfId="0" applyFont="1" applyFill="1" applyBorder="1" applyAlignment="1">
      <alignment horizontal="center" vertical="center"/>
    </xf>
    <xf numFmtId="0" fontId="12" fillId="14" borderId="14" xfId="0" applyFont="1" applyFill="1" applyBorder="1" applyAlignment="1">
      <alignment horizontal="center" vertical="center"/>
    </xf>
    <xf numFmtId="0" fontId="6" fillId="9" borderId="19" xfId="0" applyFont="1" applyFill="1" applyBorder="1" applyAlignment="1">
      <alignment horizontal="left" vertical="center" wrapText="1"/>
    </xf>
    <xf numFmtId="0" fontId="6" fillId="9" borderId="20" xfId="0" applyFont="1" applyFill="1" applyBorder="1" applyAlignment="1">
      <alignment horizontal="left" vertical="center" wrapText="1"/>
    </xf>
    <xf numFmtId="0" fontId="6" fillId="9" borderId="21" xfId="0" applyFont="1" applyFill="1" applyBorder="1" applyAlignment="1">
      <alignment horizontal="left" vertical="center" wrapText="1"/>
    </xf>
  </cellXfs>
  <cellStyles count="4">
    <cellStyle name="Comma" xfId="2" builtinId="3"/>
    <cellStyle name="Hyperlink" xfId="1" builtinId="8"/>
    <cellStyle name="Normal" xfId="0" builtinId="0"/>
    <cellStyle name="Percent" xfId="3" builtinId="5"/>
  </cellStyles>
  <dxfs count="95">
    <dxf>
      <font>
        <b val="0"/>
        <i val="0"/>
        <strike val="0"/>
        <condense val="0"/>
        <extend val="0"/>
        <outline val="0"/>
        <shadow val="0"/>
        <u val="none"/>
        <vertAlign val="baseline"/>
        <sz val="10"/>
        <color theme="1"/>
        <name val="Calibri"/>
        <family val="2"/>
        <scheme val="minor"/>
      </font>
      <fill>
        <patternFill patternType="solid">
          <fgColor indexed="64"/>
          <bgColor theme="0" tint="-4.9989318521683403E-2"/>
        </patternFill>
      </fill>
      <border diagonalUp="0" diagonalDown="0">
        <left/>
        <right/>
        <top style="thin">
          <color theme="0"/>
        </top>
        <bottom style="thin">
          <color theme="0"/>
        </bottom>
        <vertical/>
        <horizontal/>
      </border>
    </dxf>
    <dxf>
      <border outline="0">
        <top style="thin">
          <color theme="0"/>
        </top>
      </border>
    </dxf>
    <dxf>
      <border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name val="Calibri"/>
        <family val="2"/>
        <scheme val="minor"/>
      </font>
      <fill>
        <patternFill patternType="solid">
          <fgColor indexed="64"/>
          <bgColor theme="0" tint="-4.9989318521683403E-2"/>
        </patternFill>
      </fill>
    </dxf>
    <dxf>
      <border outline="0">
        <bottom style="thin">
          <color theme="0"/>
        </bottom>
      </border>
    </dxf>
    <dxf>
      <font>
        <b/>
        <i val="0"/>
        <strike val="0"/>
        <condense val="0"/>
        <extend val="0"/>
        <outline val="0"/>
        <shadow val="0"/>
        <u val="none"/>
        <vertAlign val="baseline"/>
        <sz val="10"/>
        <color theme="0"/>
        <name val="Calibri"/>
        <family val="2"/>
        <scheme val="minor"/>
      </font>
      <fill>
        <patternFill patternType="solid">
          <fgColor indexed="64"/>
          <bgColor rgb="FF009959"/>
        </patternFill>
      </fill>
    </dxf>
    <dxf>
      <font>
        <b val="0"/>
        <i val="0"/>
        <strike val="0"/>
        <condense val="0"/>
        <extend val="0"/>
        <outline val="0"/>
        <shadow val="0"/>
        <u val="none"/>
        <vertAlign val="baseline"/>
        <sz val="10"/>
        <color theme="1"/>
        <name val="Calibri"/>
        <family val="2"/>
        <scheme val="minor"/>
      </font>
      <fill>
        <patternFill patternType="solid">
          <fgColor indexed="64"/>
          <bgColor theme="0" tint="-4.9989318521683403E-2"/>
        </patternFill>
      </fill>
      <border diagonalUp="0" diagonalDown="0">
        <left/>
        <right/>
        <top style="thin">
          <color theme="0"/>
        </top>
        <bottom style="thin">
          <color theme="0"/>
        </bottom>
        <vertical/>
        <horizontal/>
      </border>
    </dxf>
    <dxf>
      <border outline="0">
        <top style="thin">
          <color theme="0"/>
        </top>
      </border>
    </dxf>
    <dxf>
      <border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name val="Calibri"/>
        <family val="2"/>
        <scheme val="minor"/>
      </font>
      <fill>
        <patternFill patternType="solid">
          <fgColor indexed="64"/>
          <bgColor theme="0" tint="-4.9989318521683403E-2"/>
        </patternFill>
      </fill>
    </dxf>
    <dxf>
      <border outline="0">
        <bottom style="thin">
          <color theme="0"/>
        </bottom>
      </border>
    </dxf>
    <dxf>
      <font>
        <b/>
        <i val="0"/>
        <strike val="0"/>
        <condense val="0"/>
        <extend val="0"/>
        <outline val="0"/>
        <shadow val="0"/>
        <u val="none"/>
        <vertAlign val="baseline"/>
        <sz val="10"/>
        <color theme="0"/>
        <name val="Calibri"/>
        <family val="2"/>
        <scheme val="minor"/>
      </font>
      <fill>
        <patternFill patternType="solid">
          <fgColor indexed="64"/>
          <bgColor rgb="FF009959"/>
        </patternFill>
      </fill>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right style="medium">
          <color rgb="FFCCCCCC"/>
        </right>
        <top style="medium">
          <color rgb="FFCCCCCC"/>
        </top>
        <bottom style="medium">
          <color rgb="FFCCCCCC"/>
        </bottom>
        <vertical/>
        <horizontal/>
      </border>
    </dxf>
    <dxf>
      <border outline="0">
        <left style="medium">
          <color rgb="FFCCCCCC"/>
        </left>
        <top style="medium">
          <color rgb="FFCCCCCC"/>
        </top>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dxf>
    <dxf>
      <border outline="0">
        <bottom style="medium">
          <color rgb="FFCCCCCC"/>
        </bottom>
      </border>
    </dxf>
    <dxf>
      <font>
        <b val="0"/>
        <i val="0"/>
        <strike val="0"/>
        <condense val="0"/>
        <extend val="0"/>
        <outline val="0"/>
        <shadow val="0"/>
        <u val="none"/>
        <vertAlign val="baseline"/>
        <sz val="10"/>
        <color rgb="FFFFFFFF"/>
        <name val="Arial"/>
        <family val="2"/>
        <scheme val="none"/>
      </font>
      <fill>
        <patternFill patternType="solid">
          <fgColor indexed="64"/>
          <bgColor rgb="FF009959"/>
        </patternFill>
      </fill>
      <alignment horizontal="center" vertical="center" textRotation="0" wrapText="1" indent="0" justifyLastLine="0" shrinkToFit="0" readingOrder="0"/>
      <border diagonalUp="0" diagonalDown="0" outline="0">
        <left style="medium">
          <color rgb="FFCCCCCC"/>
        </left>
        <right style="medium">
          <color rgb="FFCCCCCC"/>
        </right>
        <top/>
        <bottom/>
      </border>
    </dxf>
    <dxf>
      <font>
        <b val="0"/>
        <i val="0"/>
        <strike val="0"/>
        <condense val="0"/>
        <extend val="0"/>
        <outline val="0"/>
        <shadow val="0"/>
        <u val="none"/>
        <vertAlign val="baseline"/>
        <sz val="10"/>
        <color rgb="FFFFFFFF"/>
        <name val="Arial"/>
        <family val="2"/>
        <scheme val="none"/>
      </font>
      <fill>
        <patternFill patternType="solid">
          <fgColor indexed="64"/>
          <bgColor rgb="FF009959"/>
        </patternFill>
      </fill>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border outline="0">
        <bottom style="medium">
          <color rgb="FFCCCCCC"/>
        </bottom>
      </border>
    </dxf>
    <dxf>
      <font>
        <b val="0"/>
        <i val="0"/>
        <strike val="0"/>
        <condense val="0"/>
        <extend val="0"/>
        <outline val="0"/>
        <shadow val="0"/>
        <u val="none"/>
        <vertAlign val="baseline"/>
        <sz val="10"/>
        <color rgb="FFFFFFFF"/>
        <name val="Arial"/>
        <family val="2"/>
        <scheme val="none"/>
      </font>
      <fill>
        <patternFill patternType="solid">
          <fgColor indexed="64"/>
          <bgColor rgb="FF009959"/>
        </patternFill>
      </fill>
      <alignment horizontal="center" vertical="bottom" textRotation="0" wrapText="1" indent="0" justifyLastLine="0" shrinkToFit="0" readingOrder="0"/>
    </dxf>
    <dxf>
      <border outline="0">
        <bottom style="medium">
          <color rgb="FFCCCCCC"/>
        </bottom>
      </border>
    </dxf>
    <dxf>
      <font>
        <b val="0"/>
        <i val="0"/>
        <strike val="0"/>
        <condense val="0"/>
        <extend val="0"/>
        <outline val="0"/>
        <shadow val="0"/>
        <u val="none"/>
        <vertAlign val="baseline"/>
        <sz val="10"/>
        <color rgb="FFFFFFFF"/>
        <name val="Arial"/>
        <family val="2"/>
        <scheme val="none"/>
      </font>
      <fill>
        <patternFill patternType="solid">
          <fgColor indexed="64"/>
          <bgColor rgb="FF009959"/>
        </patternFill>
      </fill>
      <alignment horizontal="center" vertical="center" textRotation="0" wrapText="1"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numFmt numFmtId="0" formatCode="General"/>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numFmt numFmtId="0" formatCode="General"/>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numFmt numFmtId="0" formatCode="General"/>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numFmt numFmtId="0" formatCode="General"/>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numFmt numFmtId="0" formatCode="General"/>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numFmt numFmtId="2" formatCode="0.00"/>
      <alignment horizontal="center" vertical="bottom" textRotation="0" wrapText="1" indent="0" justifyLastLine="0" shrinkToFit="0" readingOrder="0"/>
      <border diagonalUp="0" diagonalDown="0" outline="0">
        <left style="medium">
          <color rgb="FFCCCCCC"/>
        </left>
        <right style="medium">
          <color rgb="FFCCCCCC"/>
        </right>
        <top style="medium">
          <color rgb="FFCCCCCC"/>
        </top>
        <bottom style="medium">
          <color rgb="FFCCCCCC"/>
        </bottom>
      </border>
    </dxf>
    <dxf>
      <font>
        <b val="0"/>
        <i val="0"/>
        <strike val="0"/>
        <condense val="0"/>
        <extend val="0"/>
        <outline val="0"/>
        <shadow val="0"/>
        <u val="none"/>
        <vertAlign val="baseline"/>
        <sz val="10"/>
        <color theme="1"/>
        <name val="Arial"/>
        <family val="2"/>
        <scheme val="none"/>
      </font>
      <numFmt numFmtId="0" formatCode="General"/>
      <alignment horizontal="center" vertical="bottom" textRotation="0" wrapText="1" indent="0" justifyLastLine="0" shrinkToFit="0" readingOrder="0"/>
      <border diagonalUp="0" diagonalDown="0" outline="0">
        <left style="medium">
          <color rgb="FFCCCCCC"/>
        </left>
        <right style="medium">
          <color rgb="FFCCCCCC"/>
        </right>
        <top style="medium">
          <color rgb="FFCCCCCC"/>
        </top>
        <bottom style="medium">
          <color rgb="FFCCCCCC"/>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2"/>
        </patternFill>
      </fill>
      <alignment horizontal="center" vertical="bottom" textRotation="0" wrapText="1" indent="0" justifyLastLine="0" shrinkToFit="0" readingOrder="0"/>
      <border diagonalUp="0" diagonalDown="0">
        <left/>
        <right style="medium">
          <color rgb="FFCCCCCC"/>
        </right>
        <top style="medium">
          <color rgb="FFCCCCCC"/>
        </top>
        <bottom style="medium">
          <color rgb="FFCCCCCC"/>
        </bottom>
      </border>
    </dxf>
    <dxf>
      <font>
        <b val="0"/>
        <i val="0"/>
        <strike val="0"/>
        <condense val="0"/>
        <extend val="0"/>
        <outline val="0"/>
        <shadow val="0"/>
        <u val="none"/>
        <vertAlign val="baseline"/>
        <sz val="10"/>
        <color theme="1"/>
        <name val="Arial"/>
        <family val="2"/>
        <scheme val="none"/>
      </font>
      <numFmt numFmtId="1" formatCode="0"/>
      <alignment horizontal="center" vertical="bottom" textRotation="0" wrapText="1" indent="0" justifyLastLine="0" shrinkToFit="0" readingOrder="0"/>
      <border diagonalUp="0" diagonalDown="0">
        <left/>
        <right style="medium">
          <color rgb="FFCCCCCC"/>
        </right>
        <top style="medium">
          <color rgb="FFCCCCCC"/>
        </top>
        <bottom style="medium">
          <color rgb="FFCCCCCC"/>
        </bottom>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right style="medium">
          <color rgb="FFCCCCCC"/>
        </right>
        <top style="medium">
          <color rgb="FFCCCCCC"/>
        </top>
        <bottom style="medium">
          <color rgb="FFCCCCCC"/>
        </bottom>
        <vertical/>
        <horizontal/>
      </border>
    </dxf>
    <dxf>
      <border outline="0">
        <top style="medium">
          <color rgb="FFCCCCCC"/>
        </top>
      </border>
    </dxf>
    <dxf>
      <border outline="0">
        <left style="medium">
          <color rgb="FFCCCCCC"/>
        </left>
        <right style="medium">
          <color rgb="FFCCCCCC"/>
        </right>
        <top style="medium">
          <color rgb="FFCCCCCC"/>
        </top>
        <bottom style="medium">
          <color rgb="FFCCCCCC"/>
        </bottom>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dxf>
    <dxf>
      <border outline="0">
        <bottom style="medium">
          <color rgb="FFCCCCCC"/>
        </bottom>
      </border>
    </dxf>
    <dxf>
      <font>
        <b val="0"/>
        <i val="0"/>
        <strike val="0"/>
        <condense val="0"/>
        <extend val="0"/>
        <outline val="0"/>
        <shadow val="0"/>
        <u val="none"/>
        <vertAlign val="baseline"/>
        <sz val="10"/>
        <color rgb="FFFFFFFF"/>
        <name val="Arial"/>
        <family val="2"/>
        <scheme val="none"/>
      </font>
      <fill>
        <patternFill patternType="solid">
          <fgColor indexed="64"/>
          <bgColor rgb="FF009959"/>
        </patternFill>
      </fill>
      <alignment horizontal="center" vertical="bottom" textRotation="0" wrapText="1" indent="0" justifyLastLine="0" shrinkToFit="0" readingOrder="0"/>
      <border diagonalUp="0" diagonalDown="0" outline="0">
        <left style="medium">
          <color rgb="FFCCCCCC"/>
        </left>
        <right style="medium">
          <color rgb="FFCCCCCC"/>
        </right>
        <top/>
        <bottom/>
      </border>
    </dxf>
  </dxfs>
  <tableStyles count="0" defaultTableStyle="TableStyleMedium2" defaultPivotStyle="PivotStyleLight16"/>
  <colors>
    <mruColors>
      <color rgb="FF009959"/>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eetMetadata" Target="metadata.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5.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9.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Ex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Solar Irrigation Pumping Systems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scatterChart>
        <c:scatterStyle val="lineMarker"/>
        <c:varyColors val="0"/>
        <c:ser>
          <c:idx val="0"/>
          <c:order val="0"/>
          <c:spPr>
            <a:ln w="25400" cap="rnd">
              <a:noFill/>
              <a:round/>
            </a:ln>
            <a:effectLst/>
          </c:spPr>
          <c:marker>
            <c:symbol val="circle"/>
            <c:size val="5"/>
            <c:spPr>
              <a:solidFill>
                <a:srgbClr val="009959"/>
              </a:solidFill>
              <a:ln w="9525">
                <a:solidFill>
                  <a:srgbClr val="009959"/>
                </a:solidFill>
              </a:ln>
              <a:effectLst/>
            </c:spPr>
          </c:marker>
          <c:trendline>
            <c:spPr>
              <a:ln w="19050" cap="rnd">
                <a:solidFill>
                  <a:srgbClr val="009959"/>
                </a:solidFill>
                <a:prstDash val="sysDot"/>
              </a:ln>
              <a:effectLst/>
            </c:spPr>
            <c:trendlineType val="log"/>
            <c:dispRSqr val="0"/>
            <c:dispEq val="0"/>
          </c:trendline>
          <c:xVal>
            <c:numRef>
              <c:f>'Calculations &amp; Assumptions'!$E$117:$E$126</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'Calculations &amp; Assumptions'!$F$117:$F$126</c:f>
              <c:numCache>
                <c:formatCode>_-* #,##0_-;\-* #,##0_-;_-* "-"??_-;_-@_-</c:formatCode>
                <c:ptCount val="10"/>
                <c:pt idx="0">
                  <c:v>124858.5</c:v>
                </c:pt>
                <c:pt idx="1">
                  <c:v>108677.1804576748</c:v>
                </c:pt>
                <c:pt idx="2">
                  <c:v>99211.715313228138</c:v>
                </c:pt>
                <c:pt idx="3">
                  <c:v>92495.860915349607</c:v>
                </c:pt>
                <c:pt idx="4">
                  <c:v>87286.639542325196</c:v>
                </c:pt>
                <c:pt idx="5">
                  <c:v>83030.395770902949</c:v>
                </c:pt>
                <c:pt idx="6">
                  <c:v>79431.792937466467</c:v>
                </c:pt>
                <c:pt idx="7">
                  <c:v>76314.541373024404</c:v>
                </c:pt>
                <c:pt idx="8">
                  <c:v>73564.930626456277</c:v>
                </c:pt>
                <c:pt idx="9">
                  <c:v>71105.320000000007</c:v>
                </c:pt>
              </c:numCache>
            </c:numRef>
          </c:yVal>
          <c:smooth val="0"/>
          <c:extLst>
            <c:ext xmlns:c16="http://schemas.microsoft.com/office/drawing/2014/chart" uri="{C3380CC4-5D6E-409C-BE32-E72D297353CC}">
              <c16:uniqueId val="{00000001-DAAF-45F3-92A1-D349169BFA5C}"/>
            </c:ext>
          </c:extLst>
        </c:ser>
        <c:dLbls>
          <c:showLegendKey val="0"/>
          <c:showVal val="0"/>
          <c:showCatName val="0"/>
          <c:showSerName val="0"/>
          <c:showPercent val="0"/>
          <c:showBubbleSize val="0"/>
        </c:dLbls>
        <c:axId val="640109328"/>
        <c:axId val="640109656"/>
      </c:scatterChart>
      <c:valAx>
        <c:axId val="64010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PV Capacity (kWp)</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640109656"/>
        <c:crosses val="autoZero"/>
        <c:crossBetween val="midCat"/>
      </c:valAx>
      <c:valAx>
        <c:axId val="640109656"/>
        <c:scaling>
          <c:orientation val="minMax"/>
          <c:min val="60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Equipment Cost per kWp (NPR)</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 #,##0_-;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6401093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noFill/>
      <a:round/>
    </a:ln>
    <a:effectLst/>
  </c:spPr>
  <c:txPr>
    <a:bodyPr/>
    <a:lstStyle/>
    <a:p>
      <a:pPr>
        <a:defRPr/>
      </a:pPr>
      <a:endParaRPr lang="en-N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Solar Irrigation Pumping Systems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scatterChart>
        <c:scatterStyle val="lineMarker"/>
        <c:varyColors val="0"/>
        <c:ser>
          <c:idx val="0"/>
          <c:order val="0"/>
          <c:spPr>
            <a:ln w="25400" cap="rnd">
              <a:noFill/>
              <a:round/>
            </a:ln>
            <a:effectLst/>
          </c:spPr>
          <c:marker>
            <c:symbol val="circle"/>
            <c:size val="5"/>
            <c:spPr>
              <a:solidFill>
                <a:srgbClr val="009959"/>
              </a:solidFill>
              <a:ln w="9525">
                <a:solidFill>
                  <a:srgbClr val="009959"/>
                </a:solidFill>
              </a:ln>
              <a:effectLst/>
            </c:spPr>
          </c:marker>
          <c:trendline>
            <c:spPr>
              <a:ln w="19050" cap="rnd">
                <a:solidFill>
                  <a:srgbClr val="009959"/>
                </a:solidFill>
                <a:prstDash val="sysDot"/>
              </a:ln>
              <a:effectLst/>
            </c:spPr>
            <c:trendlineType val="log"/>
            <c:dispRSqr val="0"/>
            <c:dispEq val="0"/>
          </c:trendline>
          <c:xVal>
            <c:numRef>
              <c:f>'Calculations &amp; Assumptions'!$E$130:$E$139</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'Calculations &amp; Assumptions'!$F$130:$F$139</c:f>
              <c:numCache>
                <c:formatCode>_-* #,##0_-;\-* #,##0_-;_-* "-"??_-;_-@_-</c:formatCode>
                <c:ptCount val="10"/>
                <c:pt idx="0">
                  <c:v>150470.5</c:v>
                </c:pt>
                <c:pt idx="1">
                  <c:v>137315.34770538606</c:v>
                </c:pt>
                <c:pt idx="2">
                  <c:v>129620.07692176104</c:v>
                </c:pt>
                <c:pt idx="3">
                  <c:v>124160.19541077212</c:v>
                </c:pt>
                <c:pt idx="4">
                  <c:v>119925.18229461394</c:v>
                </c:pt>
                <c:pt idx="5">
                  <c:v>116464.92462714709</c:v>
                </c:pt>
                <c:pt idx="6">
                  <c:v>113539.31845529817</c:v>
                </c:pt>
                <c:pt idx="7">
                  <c:v>111005.04311615819</c:v>
                </c:pt>
                <c:pt idx="8">
                  <c:v>108769.65384352207</c:v>
                </c:pt>
                <c:pt idx="9">
                  <c:v>106770.03</c:v>
                </c:pt>
              </c:numCache>
            </c:numRef>
          </c:yVal>
          <c:smooth val="0"/>
          <c:extLst>
            <c:ext xmlns:c16="http://schemas.microsoft.com/office/drawing/2014/chart" uri="{C3380CC4-5D6E-409C-BE32-E72D297353CC}">
              <c16:uniqueId val="{00000001-2122-4369-89FC-3447551478B9}"/>
            </c:ext>
          </c:extLst>
        </c:ser>
        <c:dLbls>
          <c:showLegendKey val="0"/>
          <c:showVal val="0"/>
          <c:showCatName val="0"/>
          <c:showSerName val="0"/>
          <c:showPercent val="0"/>
          <c:showBubbleSize val="0"/>
        </c:dLbls>
        <c:axId val="640109328"/>
        <c:axId val="640109656"/>
      </c:scatterChart>
      <c:valAx>
        <c:axId val="64010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PV Capacity (kWp)</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640109656"/>
        <c:crosses val="autoZero"/>
        <c:crossBetween val="midCat"/>
      </c:valAx>
      <c:valAx>
        <c:axId val="640109656"/>
        <c:scaling>
          <c:orientation val="minMax"/>
          <c:min val="90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Equipment Cost per kWp (NPR)</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 #,##0_-;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6401093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noFill/>
      <a:round/>
    </a:ln>
    <a:effectLst/>
  </c:spPr>
  <c:txPr>
    <a:bodyPr/>
    <a:lstStyle/>
    <a:p>
      <a:pPr>
        <a:defRPr/>
      </a:pPr>
      <a:endParaRPr lang="en-N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Solar Irrigation Pumping</a:t>
            </a:r>
            <a:r>
              <a:rPr lang="de-DE" b="1" baseline="0"/>
              <a:t> </a:t>
            </a:r>
            <a:r>
              <a:rPr lang="de-DE" b="1"/>
              <a:t>System Costs</a:t>
            </a:r>
            <a:endParaRPr lang="de-DE" b="1" baseline="0"/>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manualLayout>
          <c:layoutTarget val="inner"/>
          <c:xMode val="edge"/>
          <c:yMode val="edge"/>
          <c:x val="0.13074045628000383"/>
          <c:y val="0.13930555555555554"/>
          <c:w val="0.85046869514571988"/>
          <c:h val="0.60014617964421124"/>
        </c:manualLayout>
      </c:layout>
      <c:barChart>
        <c:barDir val="col"/>
        <c:grouping val="clustered"/>
        <c:varyColors val="0"/>
        <c:ser>
          <c:idx val="4"/>
          <c:order val="0"/>
          <c:tx>
            <c:strRef>
              <c:f>Results!$E$161</c:f>
              <c:strCache>
                <c:ptCount val="1"/>
                <c:pt idx="0">
                  <c:v>Without battery</c:v>
                </c:pt>
              </c:strCache>
            </c:strRef>
          </c:tx>
          <c:spPr>
            <a:solidFill>
              <a:srgbClr val="FFC000"/>
            </a:solidFill>
            <a:ln>
              <a:noFill/>
            </a:ln>
            <a:effectLst/>
          </c:spPr>
          <c:invertIfNegative val="0"/>
          <c:cat>
            <c:numRef>
              <c:f>Results!$E$159:$N$159</c:f>
              <c:numCache>
                <c:formatCode>_(* #,##0_);_(* \(#,##0\);_(* "-"??_);_(@_)</c:formatCode>
                <c:ptCount val="10"/>
                <c:pt idx="0">
                  <c:v>1</c:v>
                </c:pt>
                <c:pt idx="1">
                  <c:v>2</c:v>
                </c:pt>
                <c:pt idx="2">
                  <c:v>4</c:v>
                </c:pt>
                <c:pt idx="3">
                  <c:v>6</c:v>
                </c:pt>
                <c:pt idx="4">
                  <c:v>8</c:v>
                </c:pt>
                <c:pt idx="5">
                  <c:v>10</c:v>
                </c:pt>
                <c:pt idx="6">
                  <c:v>15</c:v>
                </c:pt>
                <c:pt idx="7">
                  <c:v>20</c:v>
                </c:pt>
                <c:pt idx="8">
                  <c:v>25</c:v>
                </c:pt>
                <c:pt idx="9">
                  <c:v>30</c:v>
                </c:pt>
              </c:numCache>
            </c:numRef>
          </c:cat>
          <c:val>
            <c:numRef>
              <c:f>Results!$E$166:$N$166</c:f>
              <c:numCache>
                <c:formatCode>_(* #,##0_);_(* \(#,##0\);_(* "-"??_);_(@_)</c:formatCode>
                <c:ptCount val="10"/>
                <c:pt idx="0">
                  <c:v>146000</c:v>
                </c:pt>
                <c:pt idx="1">
                  <c:v>254000</c:v>
                </c:pt>
                <c:pt idx="2">
                  <c:v>433000</c:v>
                </c:pt>
                <c:pt idx="3">
                  <c:v>583000</c:v>
                </c:pt>
                <c:pt idx="4">
                  <c:v>714000</c:v>
                </c:pt>
                <c:pt idx="5">
                  <c:v>832000</c:v>
                </c:pt>
                <c:pt idx="6">
                  <c:v>1082000</c:v>
                </c:pt>
                <c:pt idx="7">
                  <c:v>1285000</c:v>
                </c:pt>
                <c:pt idx="8">
                  <c:v>1454000</c:v>
                </c:pt>
                <c:pt idx="9">
                  <c:v>1596000</c:v>
                </c:pt>
              </c:numCache>
            </c:numRef>
          </c:val>
          <c:extLst>
            <c:ext xmlns:c16="http://schemas.microsoft.com/office/drawing/2014/chart" uri="{C3380CC4-5D6E-409C-BE32-E72D297353CC}">
              <c16:uniqueId val="{00000000-AF8A-4F1E-8D05-03B27C979A3A}"/>
            </c:ext>
          </c:extLst>
        </c:ser>
        <c:ser>
          <c:idx val="0"/>
          <c:order val="1"/>
          <c:tx>
            <c:strRef>
              <c:f>Results!$E$169</c:f>
              <c:strCache>
                <c:ptCount val="1"/>
                <c:pt idx="0">
                  <c:v>With battery</c:v>
                </c:pt>
              </c:strCache>
            </c:strRef>
          </c:tx>
          <c:spPr>
            <a:solidFill>
              <a:srgbClr val="0070C0"/>
            </a:solidFill>
            <a:ln>
              <a:noFill/>
            </a:ln>
            <a:effectLst/>
          </c:spPr>
          <c:invertIfNegative val="0"/>
          <c:cat>
            <c:numRef>
              <c:f>Results!$E$159:$N$159</c:f>
              <c:numCache>
                <c:formatCode>_(* #,##0_);_(* \(#,##0\);_(* "-"??_);_(@_)</c:formatCode>
                <c:ptCount val="10"/>
                <c:pt idx="0">
                  <c:v>1</c:v>
                </c:pt>
                <c:pt idx="1">
                  <c:v>2</c:v>
                </c:pt>
                <c:pt idx="2">
                  <c:v>4</c:v>
                </c:pt>
                <c:pt idx="3">
                  <c:v>6</c:v>
                </c:pt>
                <c:pt idx="4">
                  <c:v>8</c:v>
                </c:pt>
                <c:pt idx="5">
                  <c:v>10</c:v>
                </c:pt>
                <c:pt idx="6">
                  <c:v>15</c:v>
                </c:pt>
                <c:pt idx="7">
                  <c:v>20</c:v>
                </c:pt>
                <c:pt idx="8">
                  <c:v>25</c:v>
                </c:pt>
                <c:pt idx="9">
                  <c:v>30</c:v>
                </c:pt>
              </c:numCache>
            </c:numRef>
          </c:cat>
          <c:val>
            <c:numRef>
              <c:f>Results!$E$174:$N$174</c:f>
              <c:numCache>
                <c:formatCode>_(* #,##0_);_(* \(#,##0\);_(* "-"??_);_(@_)</c:formatCode>
                <c:ptCount val="10"/>
                <c:pt idx="0">
                  <c:v>264000</c:v>
                </c:pt>
                <c:pt idx="1">
                  <c:v>482000</c:v>
                </c:pt>
                <c:pt idx="2">
                  <c:v>872000</c:v>
                </c:pt>
                <c:pt idx="3">
                  <c:v>1226000</c:v>
                </c:pt>
                <c:pt idx="4">
                  <c:v>1559000</c:v>
                </c:pt>
                <c:pt idx="5">
                  <c:v>1874000</c:v>
                </c:pt>
                <c:pt idx="6">
                  <c:v>2608000</c:v>
                </c:pt>
                <c:pt idx="7">
                  <c:v>3286000</c:v>
                </c:pt>
                <c:pt idx="8">
                  <c:v>3922000</c:v>
                </c:pt>
                <c:pt idx="9">
                  <c:v>4524000</c:v>
                </c:pt>
              </c:numCache>
            </c:numRef>
          </c:val>
          <c:extLst>
            <c:ext xmlns:c16="http://schemas.microsoft.com/office/drawing/2014/chart" uri="{C3380CC4-5D6E-409C-BE32-E72D297353CC}">
              <c16:uniqueId val="{00000001-AF8A-4F1E-8D05-03B27C979A3A}"/>
            </c:ext>
          </c:extLst>
        </c:ser>
        <c:dLbls>
          <c:showLegendKey val="0"/>
          <c:showVal val="0"/>
          <c:showCatName val="0"/>
          <c:showSerName val="0"/>
          <c:showPercent val="0"/>
          <c:showBubbleSize val="0"/>
        </c:dLbls>
        <c:gapWidth val="150"/>
        <c:axId val="1041789632"/>
        <c:axId val="1041781432"/>
      </c:barChart>
      <c:catAx>
        <c:axId val="104178963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System sizes (kW</a:t>
                </a:r>
                <a:r>
                  <a:rPr lang="de-DE" b="1" baseline="0"/>
                  <a:t>p)</a:t>
                </a:r>
                <a:endParaRPr lang="de-DE" b="1"/>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1432"/>
        <c:crosses val="autoZero"/>
        <c:auto val="1"/>
        <c:lblAlgn val="ctr"/>
        <c:lblOffset val="100"/>
        <c:noMultiLvlLbl val="0"/>
      </c:catAx>
      <c:valAx>
        <c:axId val="1041781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Total Cost</a:t>
                </a:r>
                <a:r>
                  <a:rPr lang="de-DE" b="1" baseline="0"/>
                  <a:t> (NPR)</a:t>
                </a:r>
                <a:endParaRPr lang="de-DE"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9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n-N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Solar Home System</a:t>
            </a:r>
            <a:r>
              <a:rPr lang="de-DE" b="1" baseline="0"/>
              <a:t> Costs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manualLayout>
          <c:layoutTarget val="inner"/>
          <c:xMode val="edge"/>
          <c:yMode val="edge"/>
          <c:x val="0.13074045628000383"/>
          <c:y val="0.13930555555555554"/>
          <c:w val="0.85046869514571988"/>
          <c:h val="0.60014617964421124"/>
        </c:manualLayout>
      </c:layout>
      <c:barChart>
        <c:barDir val="col"/>
        <c:grouping val="stacked"/>
        <c:varyColors val="0"/>
        <c:ser>
          <c:idx val="4"/>
          <c:order val="0"/>
          <c:tx>
            <c:strRef>
              <c:f>Results!$B$46</c:f>
              <c:strCache>
                <c:ptCount val="1"/>
                <c:pt idx="0">
                  <c:v>Total Cost</c:v>
                </c:pt>
              </c:strCache>
            </c:strRef>
          </c:tx>
          <c:spPr>
            <a:solidFill>
              <a:srgbClr val="FFC000"/>
            </a:solidFill>
            <a:ln>
              <a:noFill/>
            </a:ln>
            <a:effectLst/>
          </c:spPr>
          <c:invertIfNegative val="0"/>
          <c:cat>
            <c:numRef>
              <c:f>Results!$E$40:$N$40</c:f>
              <c:numCache>
                <c:formatCode>_(* #,##0_);_(* \(#,##0\);_(* "-"??_);_(@_)</c:formatCode>
                <c:ptCount val="10"/>
                <c:pt idx="0">
                  <c:v>10</c:v>
                </c:pt>
                <c:pt idx="1">
                  <c:v>20</c:v>
                </c:pt>
                <c:pt idx="2">
                  <c:v>30</c:v>
                </c:pt>
                <c:pt idx="3">
                  <c:v>50</c:v>
                </c:pt>
                <c:pt idx="4">
                  <c:v>55</c:v>
                </c:pt>
                <c:pt idx="5">
                  <c:v>60</c:v>
                </c:pt>
                <c:pt idx="6">
                  <c:v>70</c:v>
                </c:pt>
                <c:pt idx="7">
                  <c:v>80</c:v>
                </c:pt>
                <c:pt idx="8">
                  <c:v>90</c:v>
                </c:pt>
                <c:pt idx="9">
                  <c:v>100</c:v>
                </c:pt>
              </c:numCache>
            </c:numRef>
          </c:cat>
          <c:val>
            <c:numRef>
              <c:f>Results!$E$46:$N$46</c:f>
              <c:numCache>
                <c:formatCode>_(* #,##0_);_(* \(#,##0\);_(* "-"??_);_(@_)</c:formatCode>
                <c:ptCount val="10"/>
                <c:pt idx="0">
                  <c:v>4000</c:v>
                </c:pt>
                <c:pt idx="1">
                  <c:v>8000</c:v>
                </c:pt>
                <c:pt idx="2">
                  <c:v>12500</c:v>
                </c:pt>
                <c:pt idx="3">
                  <c:v>20500</c:v>
                </c:pt>
                <c:pt idx="4">
                  <c:v>22500</c:v>
                </c:pt>
                <c:pt idx="5">
                  <c:v>24500</c:v>
                </c:pt>
                <c:pt idx="6">
                  <c:v>29000</c:v>
                </c:pt>
                <c:pt idx="7">
                  <c:v>33000</c:v>
                </c:pt>
                <c:pt idx="8">
                  <c:v>37000</c:v>
                </c:pt>
                <c:pt idx="9">
                  <c:v>41000</c:v>
                </c:pt>
              </c:numCache>
            </c:numRef>
          </c:val>
          <c:extLst>
            <c:ext xmlns:c16="http://schemas.microsoft.com/office/drawing/2014/chart" uri="{C3380CC4-5D6E-409C-BE32-E72D297353CC}">
              <c16:uniqueId val="{00000000-4A4E-4B85-8A61-5222E7C97725}"/>
            </c:ext>
          </c:extLst>
        </c:ser>
        <c:dLbls>
          <c:showLegendKey val="0"/>
          <c:showVal val="0"/>
          <c:showCatName val="0"/>
          <c:showSerName val="0"/>
          <c:showPercent val="0"/>
          <c:showBubbleSize val="0"/>
        </c:dLbls>
        <c:gapWidth val="150"/>
        <c:overlap val="100"/>
        <c:axId val="1041789632"/>
        <c:axId val="1041781432"/>
      </c:barChart>
      <c:catAx>
        <c:axId val="104178963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System sizes (Wp</a:t>
                </a:r>
                <a:r>
                  <a:rPr lang="de-DE" b="1" baseline="0"/>
                  <a:t>)</a:t>
                </a:r>
                <a:endParaRPr lang="de-DE" b="1"/>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1432"/>
        <c:crosses val="autoZero"/>
        <c:auto val="1"/>
        <c:lblAlgn val="ctr"/>
        <c:lblOffset val="100"/>
        <c:noMultiLvlLbl val="0"/>
      </c:catAx>
      <c:valAx>
        <c:axId val="1041781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Total Cost</a:t>
                </a:r>
                <a:r>
                  <a:rPr lang="de-DE" b="1" baseline="0"/>
                  <a:t> (NPR)</a:t>
                </a:r>
                <a:endParaRPr lang="de-DE"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96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n-N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Solar Rooftop System Costs</a:t>
            </a:r>
            <a:endParaRPr lang="de-DE" b="1" baseline="0"/>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manualLayout>
          <c:layoutTarget val="inner"/>
          <c:xMode val="edge"/>
          <c:yMode val="edge"/>
          <c:x val="0.13074045628000383"/>
          <c:y val="0.13930555555555554"/>
          <c:w val="0.85046869514571988"/>
          <c:h val="0.60014617964421124"/>
        </c:manualLayout>
      </c:layout>
      <c:barChart>
        <c:barDir val="col"/>
        <c:grouping val="clustered"/>
        <c:varyColors val="0"/>
        <c:ser>
          <c:idx val="4"/>
          <c:order val="0"/>
          <c:tx>
            <c:strRef>
              <c:f>Results!$E$66</c:f>
              <c:strCache>
                <c:ptCount val="1"/>
                <c:pt idx="0">
                  <c:v>Without Storage</c:v>
                </c:pt>
              </c:strCache>
            </c:strRef>
          </c:tx>
          <c:spPr>
            <a:solidFill>
              <a:srgbClr val="FFC000"/>
            </a:solidFill>
            <a:ln>
              <a:noFill/>
            </a:ln>
            <a:effectLst/>
          </c:spPr>
          <c:invertIfNegative val="0"/>
          <c:cat>
            <c:numRef>
              <c:f>Results!$E$64:$N$64</c:f>
              <c:numCache>
                <c:formatCode>_(* #,##0_);_(* \(#,##0\);_(* "-"??_);_(@_)</c:formatCode>
                <c:ptCount val="10"/>
                <c:pt idx="0">
                  <c:v>1</c:v>
                </c:pt>
                <c:pt idx="1">
                  <c:v>2</c:v>
                </c:pt>
                <c:pt idx="2">
                  <c:v>3</c:v>
                </c:pt>
                <c:pt idx="3">
                  <c:v>4</c:v>
                </c:pt>
                <c:pt idx="4">
                  <c:v>5</c:v>
                </c:pt>
                <c:pt idx="5">
                  <c:v>6</c:v>
                </c:pt>
                <c:pt idx="6">
                  <c:v>7</c:v>
                </c:pt>
                <c:pt idx="7">
                  <c:v>8</c:v>
                </c:pt>
                <c:pt idx="8">
                  <c:v>9</c:v>
                </c:pt>
                <c:pt idx="9">
                  <c:v>10</c:v>
                </c:pt>
              </c:numCache>
            </c:numRef>
          </c:cat>
          <c:val>
            <c:numRef>
              <c:f>Results!$E$71:$N$71</c:f>
              <c:numCache>
                <c:formatCode>_(* #,##0_);_(* \(#,##0\);_(* "-"??_);_(@_)</c:formatCode>
                <c:ptCount val="10"/>
                <c:pt idx="0">
                  <c:v>85000</c:v>
                </c:pt>
                <c:pt idx="1">
                  <c:v>170000</c:v>
                </c:pt>
                <c:pt idx="2">
                  <c:v>256000</c:v>
                </c:pt>
                <c:pt idx="3">
                  <c:v>341000</c:v>
                </c:pt>
                <c:pt idx="4">
                  <c:v>426000</c:v>
                </c:pt>
                <c:pt idx="5">
                  <c:v>511000</c:v>
                </c:pt>
                <c:pt idx="6">
                  <c:v>596000</c:v>
                </c:pt>
                <c:pt idx="7">
                  <c:v>682000</c:v>
                </c:pt>
                <c:pt idx="8">
                  <c:v>767000</c:v>
                </c:pt>
                <c:pt idx="9">
                  <c:v>852000</c:v>
                </c:pt>
              </c:numCache>
            </c:numRef>
          </c:val>
          <c:extLst>
            <c:ext xmlns:c16="http://schemas.microsoft.com/office/drawing/2014/chart" uri="{C3380CC4-5D6E-409C-BE32-E72D297353CC}">
              <c16:uniqueId val="{00000000-A612-4F48-8B23-782FB9ACD3EA}"/>
            </c:ext>
          </c:extLst>
        </c:ser>
        <c:ser>
          <c:idx val="0"/>
          <c:order val="1"/>
          <c:tx>
            <c:strRef>
              <c:f>Results!$E$74</c:f>
              <c:strCache>
                <c:ptCount val="1"/>
                <c:pt idx="0">
                  <c:v>With Storage</c:v>
                </c:pt>
              </c:strCache>
            </c:strRef>
          </c:tx>
          <c:spPr>
            <a:solidFill>
              <a:srgbClr val="0070C0"/>
            </a:solidFill>
            <a:ln>
              <a:noFill/>
            </a:ln>
            <a:effectLst/>
          </c:spPr>
          <c:invertIfNegative val="0"/>
          <c:cat>
            <c:numRef>
              <c:f>Results!$E$64:$N$64</c:f>
              <c:numCache>
                <c:formatCode>_(* #,##0_);_(* \(#,##0\);_(* "-"??_);_(@_)</c:formatCode>
                <c:ptCount val="10"/>
                <c:pt idx="0">
                  <c:v>1</c:v>
                </c:pt>
                <c:pt idx="1">
                  <c:v>2</c:v>
                </c:pt>
                <c:pt idx="2">
                  <c:v>3</c:v>
                </c:pt>
                <c:pt idx="3">
                  <c:v>4</c:v>
                </c:pt>
                <c:pt idx="4">
                  <c:v>5</c:v>
                </c:pt>
                <c:pt idx="5">
                  <c:v>6</c:v>
                </c:pt>
                <c:pt idx="6">
                  <c:v>7</c:v>
                </c:pt>
                <c:pt idx="7">
                  <c:v>8</c:v>
                </c:pt>
                <c:pt idx="8">
                  <c:v>9</c:v>
                </c:pt>
                <c:pt idx="9">
                  <c:v>10</c:v>
                </c:pt>
              </c:numCache>
            </c:numRef>
          </c:cat>
          <c:val>
            <c:numRef>
              <c:f>Results!$E$79:$N$79</c:f>
              <c:numCache>
                <c:formatCode>_(* #,##0_);_(* \(#,##0\);_(* "-"??_);_(@_)</c:formatCode>
                <c:ptCount val="10"/>
                <c:pt idx="0">
                  <c:v>136000</c:v>
                </c:pt>
                <c:pt idx="1">
                  <c:v>272000</c:v>
                </c:pt>
                <c:pt idx="2">
                  <c:v>408000</c:v>
                </c:pt>
                <c:pt idx="3">
                  <c:v>544000</c:v>
                </c:pt>
                <c:pt idx="4">
                  <c:v>680000</c:v>
                </c:pt>
                <c:pt idx="5">
                  <c:v>816000</c:v>
                </c:pt>
                <c:pt idx="6">
                  <c:v>952000</c:v>
                </c:pt>
                <c:pt idx="7">
                  <c:v>1088000</c:v>
                </c:pt>
                <c:pt idx="8">
                  <c:v>1224000</c:v>
                </c:pt>
                <c:pt idx="9">
                  <c:v>1360000</c:v>
                </c:pt>
              </c:numCache>
            </c:numRef>
          </c:val>
          <c:extLst>
            <c:ext xmlns:c16="http://schemas.microsoft.com/office/drawing/2014/chart" uri="{C3380CC4-5D6E-409C-BE32-E72D297353CC}">
              <c16:uniqueId val="{00000001-A612-4F48-8B23-782FB9ACD3EA}"/>
            </c:ext>
          </c:extLst>
        </c:ser>
        <c:dLbls>
          <c:showLegendKey val="0"/>
          <c:showVal val="0"/>
          <c:showCatName val="0"/>
          <c:showSerName val="0"/>
          <c:showPercent val="0"/>
          <c:showBubbleSize val="0"/>
        </c:dLbls>
        <c:gapWidth val="150"/>
        <c:axId val="1041789632"/>
        <c:axId val="1041781432"/>
      </c:barChart>
      <c:catAx>
        <c:axId val="104178963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System sizes (kW</a:t>
                </a:r>
                <a:r>
                  <a:rPr lang="de-DE" b="1" baseline="0"/>
                  <a:t>p)</a:t>
                </a:r>
                <a:endParaRPr lang="de-DE" b="1"/>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1432"/>
        <c:crosses val="autoZero"/>
        <c:auto val="1"/>
        <c:lblAlgn val="ctr"/>
        <c:lblOffset val="100"/>
        <c:noMultiLvlLbl val="0"/>
      </c:catAx>
      <c:valAx>
        <c:axId val="1041781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Total Cost</a:t>
                </a:r>
                <a:r>
                  <a:rPr lang="de-DE" b="1" baseline="0"/>
                  <a:t> (NPR)</a:t>
                </a:r>
                <a:endParaRPr lang="de-DE"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9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n-N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Solar Rooftop System Costs</a:t>
            </a:r>
            <a:endParaRPr lang="de-DE" b="1" baseline="0"/>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manualLayout>
          <c:layoutTarget val="inner"/>
          <c:xMode val="edge"/>
          <c:yMode val="edge"/>
          <c:x val="0.13074045628000383"/>
          <c:y val="0.13930555555555554"/>
          <c:w val="0.85046869514571988"/>
          <c:h val="0.60014617964421124"/>
        </c:manualLayout>
      </c:layout>
      <c:barChart>
        <c:barDir val="col"/>
        <c:grouping val="clustered"/>
        <c:varyColors val="0"/>
        <c:ser>
          <c:idx val="0"/>
          <c:order val="0"/>
          <c:tx>
            <c:strRef>
              <c:f>Results!$E$194</c:f>
              <c:strCache>
                <c:ptCount val="1"/>
                <c:pt idx="0">
                  <c:v>Type 2</c:v>
                </c:pt>
              </c:strCache>
            </c:strRef>
          </c:tx>
          <c:spPr>
            <a:solidFill>
              <a:schemeClr val="accent1"/>
            </a:solidFill>
            <a:ln>
              <a:noFill/>
            </a:ln>
            <a:effectLst/>
          </c:spPr>
          <c:invertIfNegative val="0"/>
          <c:cat>
            <c:numRef>
              <c:f>Results!$E$192:$N$192</c:f>
              <c:numCache>
                <c:formatCode>_(* #,##0_);_(* \(#,##0\);_(* "-"??_);_(@_)</c:formatCode>
                <c:ptCount val="10"/>
                <c:pt idx="0">
                  <c:v>1</c:v>
                </c:pt>
                <c:pt idx="1">
                  <c:v>50</c:v>
                </c:pt>
                <c:pt idx="2">
                  <c:v>100</c:v>
                </c:pt>
                <c:pt idx="3">
                  <c:v>250</c:v>
                </c:pt>
                <c:pt idx="4">
                  <c:v>500</c:v>
                </c:pt>
                <c:pt idx="5">
                  <c:v>750</c:v>
                </c:pt>
                <c:pt idx="6">
                  <c:v>1000</c:v>
                </c:pt>
                <c:pt idx="7">
                  <c:v>1500</c:v>
                </c:pt>
                <c:pt idx="8">
                  <c:v>2000</c:v>
                </c:pt>
                <c:pt idx="9">
                  <c:v>2500</c:v>
                </c:pt>
              </c:numCache>
            </c:numRef>
          </c:cat>
          <c:val>
            <c:numRef>
              <c:f>Results!$E$199:$N$199</c:f>
              <c:numCache>
                <c:formatCode>_(* #,##0_);_(* \(#,##0\);_(* "-"??_);_(@_)</c:formatCode>
                <c:ptCount val="10"/>
                <c:pt idx="0">
                  <c:v>17000</c:v>
                </c:pt>
                <c:pt idx="1">
                  <c:v>863000</c:v>
                </c:pt>
                <c:pt idx="2">
                  <c:v>1725000</c:v>
                </c:pt>
                <c:pt idx="3">
                  <c:v>4313000</c:v>
                </c:pt>
                <c:pt idx="4">
                  <c:v>8625000</c:v>
                </c:pt>
                <c:pt idx="5">
                  <c:v>12938000</c:v>
                </c:pt>
                <c:pt idx="6">
                  <c:v>17250000</c:v>
                </c:pt>
                <c:pt idx="7">
                  <c:v>25875000</c:v>
                </c:pt>
                <c:pt idx="8">
                  <c:v>34500000</c:v>
                </c:pt>
                <c:pt idx="9">
                  <c:v>43125000</c:v>
                </c:pt>
              </c:numCache>
            </c:numRef>
          </c:val>
          <c:extLst>
            <c:ext xmlns:c16="http://schemas.microsoft.com/office/drawing/2014/chart" uri="{C3380CC4-5D6E-409C-BE32-E72D297353CC}">
              <c16:uniqueId val="{00000003-EC67-4FDA-B63E-86DB0487C8F0}"/>
            </c:ext>
          </c:extLst>
        </c:ser>
        <c:ser>
          <c:idx val="1"/>
          <c:order val="1"/>
          <c:tx>
            <c:strRef>
              <c:f>Results!$E$202</c:f>
              <c:strCache>
                <c:ptCount val="1"/>
                <c:pt idx="0">
                  <c:v>Type 3</c:v>
                </c:pt>
              </c:strCache>
            </c:strRef>
          </c:tx>
          <c:spPr>
            <a:solidFill>
              <a:schemeClr val="accent2"/>
            </a:solidFill>
            <a:ln>
              <a:noFill/>
            </a:ln>
            <a:effectLst/>
          </c:spPr>
          <c:invertIfNegative val="0"/>
          <c:cat>
            <c:numRef>
              <c:f>Results!$E$192:$N$192</c:f>
              <c:numCache>
                <c:formatCode>_(* #,##0_);_(* \(#,##0\);_(* "-"??_);_(@_)</c:formatCode>
                <c:ptCount val="10"/>
                <c:pt idx="0">
                  <c:v>1</c:v>
                </c:pt>
                <c:pt idx="1">
                  <c:v>50</c:v>
                </c:pt>
                <c:pt idx="2">
                  <c:v>100</c:v>
                </c:pt>
                <c:pt idx="3">
                  <c:v>250</c:v>
                </c:pt>
                <c:pt idx="4">
                  <c:v>500</c:v>
                </c:pt>
                <c:pt idx="5">
                  <c:v>750</c:v>
                </c:pt>
                <c:pt idx="6">
                  <c:v>1000</c:v>
                </c:pt>
                <c:pt idx="7">
                  <c:v>1500</c:v>
                </c:pt>
                <c:pt idx="8">
                  <c:v>2000</c:v>
                </c:pt>
                <c:pt idx="9">
                  <c:v>2500</c:v>
                </c:pt>
              </c:numCache>
            </c:numRef>
          </c:cat>
          <c:val>
            <c:numRef>
              <c:f>Results!$E$207:$N$207</c:f>
              <c:numCache>
                <c:formatCode>_(* #,##0_);_(* \(#,##0\);_(* "-"??_);_(@_)</c:formatCode>
                <c:ptCount val="10"/>
                <c:pt idx="0">
                  <c:v>29000</c:v>
                </c:pt>
                <c:pt idx="1">
                  <c:v>1438000</c:v>
                </c:pt>
                <c:pt idx="2">
                  <c:v>2875000</c:v>
                </c:pt>
                <c:pt idx="3">
                  <c:v>7188000</c:v>
                </c:pt>
                <c:pt idx="4">
                  <c:v>14375000</c:v>
                </c:pt>
                <c:pt idx="5">
                  <c:v>21563000</c:v>
                </c:pt>
                <c:pt idx="6">
                  <c:v>28750000</c:v>
                </c:pt>
                <c:pt idx="7">
                  <c:v>43125000</c:v>
                </c:pt>
                <c:pt idx="8">
                  <c:v>57500000</c:v>
                </c:pt>
                <c:pt idx="9">
                  <c:v>71875000</c:v>
                </c:pt>
              </c:numCache>
            </c:numRef>
          </c:val>
          <c:extLst>
            <c:ext xmlns:c16="http://schemas.microsoft.com/office/drawing/2014/chart" uri="{C3380CC4-5D6E-409C-BE32-E72D297353CC}">
              <c16:uniqueId val="{00000004-EC67-4FDA-B63E-86DB0487C8F0}"/>
            </c:ext>
          </c:extLst>
        </c:ser>
        <c:ser>
          <c:idx val="2"/>
          <c:order val="2"/>
          <c:tx>
            <c:strRef>
              <c:f>Results!$E$210</c:f>
              <c:strCache>
                <c:ptCount val="1"/>
                <c:pt idx="0">
                  <c:v>Type 4</c:v>
                </c:pt>
              </c:strCache>
            </c:strRef>
          </c:tx>
          <c:spPr>
            <a:solidFill>
              <a:schemeClr val="accent3"/>
            </a:solidFill>
            <a:ln>
              <a:noFill/>
            </a:ln>
            <a:effectLst/>
          </c:spPr>
          <c:invertIfNegative val="0"/>
          <c:cat>
            <c:numRef>
              <c:f>Results!$E$192:$N$192</c:f>
              <c:numCache>
                <c:formatCode>_(* #,##0_);_(* \(#,##0\);_(* "-"??_);_(@_)</c:formatCode>
                <c:ptCount val="10"/>
                <c:pt idx="0">
                  <c:v>1</c:v>
                </c:pt>
                <c:pt idx="1">
                  <c:v>50</c:v>
                </c:pt>
                <c:pt idx="2">
                  <c:v>100</c:v>
                </c:pt>
                <c:pt idx="3">
                  <c:v>250</c:v>
                </c:pt>
                <c:pt idx="4">
                  <c:v>500</c:v>
                </c:pt>
                <c:pt idx="5">
                  <c:v>750</c:v>
                </c:pt>
                <c:pt idx="6">
                  <c:v>1000</c:v>
                </c:pt>
                <c:pt idx="7">
                  <c:v>1500</c:v>
                </c:pt>
                <c:pt idx="8">
                  <c:v>2000</c:v>
                </c:pt>
                <c:pt idx="9">
                  <c:v>2500</c:v>
                </c:pt>
              </c:numCache>
            </c:numRef>
          </c:cat>
          <c:val>
            <c:numRef>
              <c:f>Results!$E$215:$N$215</c:f>
              <c:numCache>
                <c:formatCode>_(* #,##0_);_(* \(#,##0\);_(* "-"??_);_(@_)</c:formatCode>
                <c:ptCount val="10"/>
                <c:pt idx="0">
                  <c:v>35000</c:v>
                </c:pt>
                <c:pt idx="1">
                  <c:v>1725000</c:v>
                </c:pt>
                <c:pt idx="2">
                  <c:v>3450000</c:v>
                </c:pt>
                <c:pt idx="3">
                  <c:v>8625000</c:v>
                </c:pt>
                <c:pt idx="4">
                  <c:v>17250000</c:v>
                </c:pt>
                <c:pt idx="5">
                  <c:v>25875000</c:v>
                </c:pt>
                <c:pt idx="6">
                  <c:v>34500000</c:v>
                </c:pt>
                <c:pt idx="7">
                  <c:v>51750000</c:v>
                </c:pt>
                <c:pt idx="8">
                  <c:v>69000000</c:v>
                </c:pt>
                <c:pt idx="9">
                  <c:v>86250000</c:v>
                </c:pt>
              </c:numCache>
            </c:numRef>
          </c:val>
          <c:extLst>
            <c:ext xmlns:c16="http://schemas.microsoft.com/office/drawing/2014/chart" uri="{C3380CC4-5D6E-409C-BE32-E72D297353CC}">
              <c16:uniqueId val="{00000005-EC67-4FDA-B63E-86DB0487C8F0}"/>
            </c:ext>
          </c:extLst>
        </c:ser>
        <c:dLbls>
          <c:showLegendKey val="0"/>
          <c:showVal val="0"/>
          <c:showCatName val="0"/>
          <c:showSerName val="0"/>
          <c:showPercent val="0"/>
          <c:showBubbleSize val="0"/>
        </c:dLbls>
        <c:gapWidth val="150"/>
        <c:axId val="1041789632"/>
        <c:axId val="1041781432"/>
      </c:barChart>
      <c:catAx>
        <c:axId val="104178963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Number of systems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1432"/>
        <c:crosses val="autoZero"/>
        <c:auto val="1"/>
        <c:lblAlgn val="ctr"/>
        <c:lblOffset val="100"/>
        <c:noMultiLvlLbl val="0"/>
      </c:catAx>
      <c:valAx>
        <c:axId val="1041781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Total Cost</a:t>
                </a:r>
                <a:r>
                  <a:rPr lang="de-DE" b="1" baseline="0"/>
                  <a:t> (NPR)</a:t>
                </a:r>
                <a:endParaRPr lang="de-DE"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9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n-N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Solar</a:t>
            </a:r>
            <a:r>
              <a:rPr lang="de-DE" b="1" baseline="0"/>
              <a:t> Mini-Grid </a:t>
            </a:r>
            <a:r>
              <a:rPr lang="de-DE" b="1"/>
              <a:t>System Costs</a:t>
            </a:r>
            <a:endParaRPr lang="de-DE" b="1" baseline="0"/>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manualLayout>
          <c:layoutTarget val="inner"/>
          <c:xMode val="edge"/>
          <c:yMode val="edge"/>
          <c:x val="0.13074045628000383"/>
          <c:y val="0.13930555555555554"/>
          <c:w val="0.85046869514571988"/>
          <c:h val="0.43776721673710606"/>
        </c:manualLayout>
      </c:layout>
      <c:barChart>
        <c:barDir val="col"/>
        <c:grouping val="stacked"/>
        <c:varyColors val="0"/>
        <c:ser>
          <c:idx val="0"/>
          <c:order val="0"/>
          <c:tx>
            <c:strRef>
              <c:f>Results!$B$126</c:f>
              <c:strCache>
                <c:ptCount val="1"/>
                <c:pt idx="0">
                  <c:v>Generation System</c:v>
                </c:pt>
              </c:strCache>
            </c:strRef>
          </c:tx>
          <c:spPr>
            <a:solidFill>
              <a:srgbClr val="FFC000"/>
            </a:solidFill>
            <a:ln>
              <a:noFill/>
            </a:ln>
            <a:effectLst/>
          </c:spPr>
          <c:invertIfNegative val="0"/>
          <c:cat>
            <c:multiLvlStrRef>
              <c:f>Results!$E$121:$N$124</c:f>
              <c:multiLvlStrCache>
                <c:ptCount val="10"/>
                <c:lvl>
                  <c:pt idx="0">
                    <c:v> 1.0 </c:v>
                  </c:pt>
                  <c:pt idx="1">
                    <c:v> 2.5 </c:v>
                  </c:pt>
                  <c:pt idx="2">
                    <c:v> 2.5 </c:v>
                  </c:pt>
                  <c:pt idx="3">
                    <c:v> 2.5 </c:v>
                  </c:pt>
                  <c:pt idx="4">
                    <c:v> 5.0 </c:v>
                  </c:pt>
                  <c:pt idx="5">
                    <c:v> 5.0 </c:v>
                  </c:pt>
                  <c:pt idx="6">
                    <c:v> 5.0 </c:v>
                  </c:pt>
                  <c:pt idx="7">
                    <c:v> 10.0 </c:v>
                  </c:pt>
                  <c:pt idx="8">
                    <c:v> 10.0 </c:v>
                  </c:pt>
                  <c:pt idx="9">
                    <c:v> 10.0 </c:v>
                  </c:pt>
                </c:lvl>
                <c:lvl>
                  <c:pt idx="0">
                    <c:v> 1 </c:v>
                  </c:pt>
                  <c:pt idx="1">
                    <c:v> 200 </c:v>
                  </c:pt>
                  <c:pt idx="2">
                    <c:v> 200 </c:v>
                  </c:pt>
                  <c:pt idx="3">
                    <c:v> 200 </c:v>
                  </c:pt>
                  <c:pt idx="4">
                    <c:v> 600 </c:v>
                  </c:pt>
                  <c:pt idx="5">
                    <c:v> 600 </c:v>
                  </c:pt>
                  <c:pt idx="6">
                    <c:v> 600 </c:v>
                  </c:pt>
                  <c:pt idx="7">
                    <c:v> 1,000 </c:v>
                  </c:pt>
                  <c:pt idx="8">
                    <c:v> 1,000 </c:v>
                  </c:pt>
                  <c:pt idx="9">
                    <c:v> 1,000 </c:v>
                  </c:pt>
                </c:lvl>
                <c:lvl>
                  <c:pt idx="0">
                    <c:v> High </c:v>
                  </c:pt>
                  <c:pt idx="1">
                    <c:v> Low </c:v>
                  </c:pt>
                  <c:pt idx="2">
                    <c:v> Medium </c:v>
                  </c:pt>
                  <c:pt idx="3">
                    <c:v> High </c:v>
                  </c:pt>
                  <c:pt idx="4">
                    <c:v> Low </c:v>
                  </c:pt>
                  <c:pt idx="5">
                    <c:v> Medium </c:v>
                  </c:pt>
                  <c:pt idx="6">
                    <c:v> High </c:v>
                  </c:pt>
                  <c:pt idx="7">
                    <c:v> Low </c:v>
                  </c:pt>
                  <c:pt idx="8">
                    <c:v> Medium </c:v>
                  </c:pt>
                  <c:pt idx="9">
                    <c:v> High </c:v>
                  </c:pt>
                </c:lvl>
                <c:lvl>
                  <c:pt idx="0">
                    <c:v> 1 </c:v>
                  </c:pt>
                  <c:pt idx="1">
                    <c:v> 30 </c:v>
                  </c:pt>
                  <c:pt idx="2">
                    <c:v> 30 </c:v>
                  </c:pt>
                  <c:pt idx="3">
                    <c:v> 30 </c:v>
                  </c:pt>
                  <c:pt idx="4">
                    <c:v> 100 </c:v>
                  </c:pt>
                  <c:pt idx="5">
                    <c:v> 100 </c:v>
                  </c:pt>
                  <c:pt idx="6">
                    <c:v> 100 </c:v>
                  </c:pt>
                  <c:pt idx="7">
                    <c:v> 300 </c:v>
                  </c:pt>
                  <c:pt idx="8">
                    <c:v> 300 </c:v>
                  </c:pt>
                  <c:pt idx="9">
                    <c:v> 300 </c:v>
                  </c:pt>
                </c:lvl>
              </c:multiLvlStrCache>
            </c:multiLvlStrRef>
          </c:cat>
          <c:val>
            <c:numRef>
              <c:f>Results!$E$126:$N$126</c:f>
              <c:numCache>
                <c:formatCode>_(* #,##0_);_(* \(#,##0\);_(* "-"??_);_(@_)</c:formatCode>
                <c:ptCount val="10"/>
                <c:pt idx="0">
                  <c:v>236015</c:v>
                </c:pt>
                <c:pt idx="1">
                  <c:v>5560440</c:v>
                </c:pt>
                <c:pt idx="2">
                  <c:v>6035250</c:v>
                </c:pt>
                <c:pt idx="3">
                  <c:v>7080450</c:v>
                </c:pt>
                <c:pt idx="4">
                  <c:v>18534800</c:v>
                </c:pt>
                <c:pt idx="5">
                  <c:v>20117500</c:v>
                </c:pt>
                <c:pt idx="6">
                  <c:v>23601500</c:v>
                </c:pt>
                <c:pt idx="7">
                  <c:v>55604400</c:v>
                </c:pt>
                <c:pt idx="8">
                  <c:v>60352500</c:v>
                </c:pt>
                <c:pt idx="9">
                  <c:v>70804500</c:v>
                </c:pt>
              </c:numCache>
            </c:numRef>
          </c:val>
          <c:extLst>
            <c:ext xmlns:c16="http://schemas.microsoft.com/office/drawing/2014/chart" uri="{C3380CC4-5D6E-409C-BE32-E72D297353CC}">
              <c16:uniqueId val="{00000000-EC3C-419E-BF00-A79B9CD4CA95}"/>
            </c:ext>
          </c:extLst>
        </c:ser>
        <c:ser>
          <c:idx val="1"/>
          <c:order val="1"/>
          <c:tx>
            <c:strRef>
              <c:f>Results!$B$127</c:f>
              <c:strCache>
                <c:ptCount val="1"/>
                <c:pt idx="0">
                  <c:v>Metering System</c:v>
                </c:pt>
              </c:strCache>
            </c:strRef>
          </c:tx>
          <c:spPr>
            <a:solidFill>
              <a:schemeClr val="accent2"/>
            </a:solidFill>
            <a:ln>
              <a:noFill/>
            </a:ln>
            <a:effectLst/>
          </c:spPr>
          <c:invertIfNegative val="0"/>
          <c:cat>
            <c:multiLvlStrRef>
              <c:f>Results!$E$121:$N$124</c:f>
              <c:multiLvlStrCache>
                <c:ptCount val="10"/>
                <c:lvl>
                  <c:pt idx="0">
                    <c:v> 1.0 </c:v>
                  </c:pt>
                  <c:pt idx="1">
                    <c:v> 2.5 </c:v>
                  </c:pt>
                  <c:pt idx="2">
                    <c:v> 2.5 </c:v>
                  </c:pt>
                  <c:pt idx="3">
                    <c:v> 2.5 </c:v>
                  </c:pt>
                  <c:pt idx="4">
                    <c:v> 5.0 </c:v>
                  </c:pt>
                  <c:pt idx="5">
                    <c:v> 5.0 </c:v>
                  </c:pt>
                  <c:pt idx="6">
                    <c:v> 5.0 </c:v>
                  </c:pt>
                  <c:pt idx="7">
                    <c:v> 10.0 </c:v>
                  </c:pt>
                  <c:pt idx="8">
                    <c:v> 10.0 </c:v>
                  </c:pt>
                  <c:pt idx="9">
                    <c:v> 10.0 </c:v>
                  </c:pt>
                </c:lvl>
                <c:lvl>
                  <c:pt idx="0">
                    <c:v> 1 </c:v>
                  </c:pt>
                  <c:pt idx="1">
                    <c:v> 200 </c:v>
                  </c:pt>
                  <c:pt idx="2">
                    <c:v> 200 </c:v>
                  </c:pt>
                  <c:pt idx="3">
                    <c:v> 200 </c:v>
                  </c:pt>
                  <c:pt idx="4">
                    <c:v> 600 </c:v>
                  </c:pt>
                  <c:pt idx="5">
                    <c:v> 600 </c:v>
                  </c:pt>
                  <c:pt idx="6">
                    <c:v> 600 </c:v>
                  </c:pt>
                  <c:pt idx="7">
                    <c:v> 1,000 </c:v>
                  </c:pt>
                  <c:pt idx="8">
                    <c:v> 1,000 </c:v>
                  </c:pt>
                  <c:pt idx="9">
                    <c:v> 1,000 </c:v>
                  </c:pt>
                </c:lvl>
                <c:lvl>
                  <c:pt idx="0">
                    <c:v> High </c:v>
                  </c:pt>
                  <c:pt idx="1">
                    <c:v> Low </c:v>
                  </c:pt>
                  <c:pt idx="2">
                    <c:v> Medium </c:v>
                  </c:pt>
                  <c:pt idx="3">
                    <c:v> High </c:v>
                  </c:pt>
                  <c:pt idx="4">
                    <c:v> Low </c:v>
                  </c:pt>
                  <c:pt idx="5">
                    <c:v> Medium </c:v>
                  </c:pt>
                  <c:pt idx="6">
                    <c:v> High </c:v>
                  </c:pt>
                  <c:pt idx="7">
                    <c:v> Low </c:v>
                  </c:pt>
                  <c:pt idx="8">
                    <c:v> Medium </c:v>
                  </c:pt>
                  <c:pt idx="9">
                    <c:v> High </c:v>
                  </c:pt>
                </c:lvl>
                <c:lvl>
                  <c:pt idx="0">
                    <c:v> 1 </c:v>
                  </c:pt>
                  <c:pt idx="1">
                    <c:v> 30 </c:v>
                  </c:pt>
                  <c:pt idx="2">
                    <c:v> 30 </c:v>
                  </c:pt>
                  <c:pt idx="3">
                    <c:v> 30 </c:v>
                  </c:pt>
                  <c:pt idx="4">
                    <c:v> 100 </c:v>
                  </c:pt>
                  <c:pt idx="5">
                    <c:v> 100 </c:v>
                  </c:pt>
                  <c:pt idx="6">
                    <c:v> 100 </c:v>
                  </c:pt>
                  <c:pt idx="7">
                    <c:v> 300 </c:v>
                  </c:pt>
                  <c:pt idx="8">
                    <c:v> 300 </c:v>
                  </c:pt>
                  <c:pt idx="9">
                    <c:v> 300 </c:v>
                  </c:pt>
                </c:lvl>
              </c:multiLvlStrCache>
            </c:multiLvlStrRef>
          </c:cat>
          <c:val>
            <c:numRef>
              <c:f>Results!$E$127:$N$127</c:f>
              <c:numCache>
                <c:formatCode>_(* #,##0_);_(* \(#,##0\);_(* "-"??_);_(@_)</c:formatCode>
                <c:ptCount val="10"/>
                <c:pt idx="0">
                  <c:v>6495</c:v>
                </c:pt>
                <c:pt idx="1">
                  <c:v>1299000</c:v>
                </c:pt>
                <c:pt idx="2">
                  <c:v>1299000</c:v>
                </c:pt>
                <c:pt idx="3">
                  <c:v>1299000</c:v>
                </c:pt>
                <c:pt idx="4">
                  <c:v>3897000</c:v>
                </c:pt>
                <c:pt idx="5">
                  <c:v>3897000</c:v>
                </c:pt>
                <c:pt idx="6">
                  <c:v>3897000</c:v>
                </c:pt>
                <c:pt idx="7">
                  <c:v>6495000</c:v>
                </c:pt>
                <c:pt idx="8">
                  <c:v>6495000</c:v>
                </c:pt>
                <c:pt idx="9">
                  <c:v>6495000</c:v>
                </c:pt>
              </c:numCache>
            </c:numRef>
          </c:val>
          <c:extLst>
            <c:ext xmlns:c16="http://schemas.microsoft.com/office/drawing/2014/chart" uri="{C3380CC4-5D6E-409C-BE32-E72D297353CC}">
              <c16:uniqueId val="{00000001-EC3C-419E-BF00-A79B9CD4CA95}"/>
            </c:ext>
          </c:extLst>
        </c:ser>
        <c:ser>
          <c:idx val="2"/>
          <c:order val="2"/>
          <c:tx>
            <c:strRef>
              <c:f>Results!$B$128</c:f>
              <c:strCache>
                <c:ptCount val="1"/>
                <c:pt idx="0">
                  <c:v>Distribution Network</c:v>
                </c:pt>
              </c:strCache>
            </c:strRef>
          </c:tx>
          <c:spPr>
            <a:solidFill>
              <a:srgbClr val="0070C0"/>
            </a:solidFill>
            <a:ln>
              <a:noFill/>
            </a:ln>
            <a:effectLst/>
          </c:spPr>
          <c:invertIfNegative val="0"/>
          <c:cat>
            <c:multiLvlStrRef>
              <c:f>Results!$E$121:$N$124</c:f>
              <c:multiLvlStrCache>
                <c:ptCount val="10"/>
                <c:lvl>
                  <c:pt idx="0">
                    <c:v> 1.0 </c:v>
                  </c:pt>
                  <c:pt idx="1">
                    <c:v> 2.5 </c:v>
                  </c:pt>
                  <c:pt idx="2">
                    <c:v> 2.5 </c:v>
                  </c:pt>
                  <c:pt idx="3">
                    <c:v> 2.5 </c:v>
                  </c:pt>
                  <c:pt idx="4">
                    <c:v> 5.0 </c:v>
                  </c:pt>
                  <c:pt idx="5">
                    <c:v> 5.0 </c:v>
                  </c:pt>
                  <c:pt idx="6">
                    <c:v> 5.0 </c:v>
                  </c:pt>
                  <c:pt idx="7">
                    <c:v> 10.0 </c:v>
                  </c:pt>
                  <c:pt idx="8">
                    <c:v> 10.0 </c:v>
                  </c:pt>
                  <c:pt idx="9">
                    <c:v> 10.0 </c:v>
                  </c:pt>
                </c:lvl>
                <c:lvl>
                  <c:pt idx="0">
                    <c:v> 1 </c:v>
                  </c:pt>
                  <c:pt idx="1">
                    <c:v> 200 </c:v>
                  </c:pt>
                  <c:pt idx="2">
                    <c:v> 200 </c:v>
                  </c:pt>
                  <c:pt idx="3">
                    <c:v> 200 </c:v>
                  </c:pt>
                  <c:pt idx="4">
                    <c:v> 600 </c:v>
                  </c:pt>
                  <c:pt idx="5">
                    <c:v> 600 </c:v>
                  </c:pt>
                  <c:pt idx="6">
                    <c:v> 600 </c:v>
                  </c:pt>
                  <c:pt idx="7">
                    <c:v> 1,000 </c:v>
                  </c:pt>
                  <c:pt idx="8">
                    <c:v> 1,000 </c:v>
                  </c:pt>
                  <c:pt idx="9">
                    <c:v> 1,000 </c:v>
                  </c:pt>
                </c:lvl>
                <c:lvl>
                  <c:pt idx="0">
                    <c:v> High </c:v>
                  </c:pt>
                  <c:pt idx="1">
                    <c:v> Low </c:v>
                  </c:pt>
                  <c:pt idx="2">
                    <c:v> Medium </c:v>
                  </c:pt>
                  <c:pt idx="3">
                    <c:v> High </c:v>
                  </c:pt>
                  <c:pt idx="4">
                    <c:v> Low </c:v>
                  </c:pt>
                  <c:pt idx="5">
                    <c:v> Medium </c:v>
                  </c:pt>
                  <c:pt idx="6">
                    <c:v> High </c:v>
                  </c:pt>
                  <c:pt idx="7">
                    <c:v> Low </c:v>
                  </c:pt>
                  <c:pt idx="8">
                    <c:v> Medium </c:v>
                  </c:pt>
                  <c:pt idx="9">
                    <c:v> High </c:v>
                  </c:pt>
                </c:lvl>
                <c:lvl>
                  <c:pt idx="0">
                    <c:v> 1 </c:v>
                  </c:pt>
                  <c:pt idx="1">
                    <c:v> 30 </c:v>
                  </c:pt>
                  <c:pt idx="2">
                    <c:v> 30 </c:v>
                  </c:pt>
                  <c:pt idx="3">
                    <c:v> 30 </c:v>
                  </c:pt>
                  <c:pt idx="4">
                    <c:v> 100 </c:v>
                  </c:pt>
                  <c:pt idx="5">
                    <c:v> 100 </c:v>
                  </c:pt>
                  <c:pt idx="6">
                    <c:v> 100 </c:v>
                  </c:pt>
                  <c:pt idx="7">
                    <c:v> 300 </c:v>
                  </c:pt>
                  <c:pt idx="8">
                    <c:v> 300 </c:v>
                  </c:pt>
                  <c:pt idx="9">
                    <c:v> 300 </c:v>
                  </c:pt>
                </c:lvl>
              </c:multiLvlStrCache>
            </c:multiLvlStrRef>
          </c:cat>
          <c:val>
            <c:numRef>
              <c:f>Results!$E$128:$N$128</c:f>
              <c:numCache>
                <c:formatCode>_(* #,##0_);_(* \(#,##0\);_(* "-"??_);_(@_)</c:formatCode>
                <c:ptCount val="10"/>
                <c:pt idx="0">
                  <c:v>2598000</c:v>
                </c:pt>
                <c:pt idx="1">
                  <c:v>6495000</c:v>
                </c:pt>
                <c:pt idx="2">
                  <c:v>6495000</c:v>
                </c:pt>
                <c:pt idx="3">
                  <c:v>6495000</c:v>
                </c:pt>
                <c:pt idx="4">
                  <c:v>12990000</c:v>
                </c:pt>
                <c:pt idx="5">
                  <c:v>12990000</c:v>
                </c:pt>
                <c:pt idx="6">
                  <c:v>12990000</c:v>
                </c:pt>
                <c:pt idx="7">
                  <c:v>25980000</c:v>
                </c:pt>
                <c:pt idx="8">
                  <c:v>25980000</c:v>
                </c:pt>
                <c:pt idx="9">
                  <c:v>25980000</c:v>
                </c:pt>
              </c:numCache>
            </c:numRef>
          </c:val>
          <c:extLst>
            <c:ext xmlns:c16="http://schemas.microsoft.com/office/drawing/2014/chart" uri="{C3380CC4-5D6E-409C-BE32-E72D297353CC}">
              <c16:uniqueId val="{00000002-EC3C-419E-BF00-A79B9CD4CA95}"/>
            </c:ext>
          </c:extLst>
        </c:ser>
        <c:ser>
          <c:idx val="3"/>
          <c:order val="3"/>
          <c:tx>
            <c:strRef>
              <c:f>Results!$B$133</c:f>
              <c:strCache>
                <c:ptCount val="1"/>
                <c:pt idx="0">
                  <c:v>Other Costs</c:v>
                </c:pt>
              </c:strCache>
            </c:strRef>
          </c:tx>
          <c:spPr>
            <a:solidFill>
              <a:srgbClr val="00B050"/>
            </a:solidFill>
            <a:ln>
              <a:noFill/>
            </a:ln>
            <a:effectLst/>
          </c:spPr>
          <c:invertIfNegative val="0"/>
          <c:cat>
            <c:multiLvlStrRef>
              <c:f>Results!$E$121:$N$124</c:f>
              <c:multiLvlStrCache>
                <c:ptCount val="10"/>
                <c:lvl>
                  <c:pt idx="0">
                    <c:v> 1.0 </c:v>
                  </c:pt>
                  <c:pt idx="1">
                    <c:v> 2.5 </c:v>
                  </c:pt>
                  <c:pt idx="2">
                    <c:v> 2.5 </c:v>
                  </c:pt>
                  <c:pt idx="3">
                    <c:v> 2.5 </c:v>
                  </c:pt>
                  <c:pt idx="4">
                    <c:v> 5.0 </c:v>
                  </c:pt>
                  <c:pt idx="5">
                    <c:v> 5.0 </c:v>
                  </c:pt>
                  <c:pt idx="6">
                    <c:v> 5.0 </c:v>
                  </c:pt>
                  <c:pt idx="7">
                    <c:v> 10.0 </c:v>
                  </c:pt>
                  <c:pt idx="8">
                    <c:v> 10.0 </c:v>
                  </c:pt>
                  <c:pt idx="9">
                    <c:v> 10.0 </c:v>
                  </c:pt>
                </c:lvl>
                <c:lvl>
                  <c:pt idx="0">
                    <c:v> 1 </c:v>
                  </c:pt>
                  <c:pt idx="1">
                    <c:v> 200 </c:v>
                  </c:pt>
                  <c:pt idx="2">
                    <c:v> 200 </c:v>
                  </c:pt>
                  <c:pt idx="3">
                    <c:v> 200 </c:v>
                  </c:pt>
                  <c:pt idx="4">
                    <c:v> 600 </c:v>
                  </c:pt>
                  <c:pt idx="5">
                    <c:v> 600 </c:v>
                  </c:pt>
                  <c:pt idx="6">
                    <c:v> 600 </c:v>
                  </c:pt>
                  <c:pt idx="7">
                    <c:v> 1,000 </c:v>
                  </c:pt>
                  <c:pt idx="8">
                    <c:v> 1,000 </c:v>
                  </c:pt>
                  <c:pt idx="9">
                    <c:v> 1,000 </c:v>
                  </c:pt>
                </c:lvl>
                <c:lvl>
                  <c:pt idx="0">
                    <c:v> High </c:v>
                  </c:pt>
                  <c:pt idx="1">
                    <c:v> Low </c:v>
                  </c:pt>
                  <c:pt idx="2">
                    <c:v> Medium </c:v>
                  </c:pt>
                  <c:pt idx="3">
                    <c:v> High </c:v>
                  </c:pt>
                  <c:pt idx="4">
                    <c:v> Low </c:v>
                  </c:pt>
                  <c:pt idx="5">
                    <c:v> Medium </c:v>
                  </c:pt>
                  <c:pt idx="6">
                    <c:v> High </c:v>
                  </c:pt>
                  <c:pt idx="7">
                    <c:v> Low </c:v>
                  </c:pt>
                  <c:pt idx="8">
                    <c:v> Medium </c:v>
                  </c:pt>
                  <c:pt idx="9">
                    <c:v> High </c:v>
                  </c:pt>
                </c:lvl>
                <c:lvl>
                  <c:pt idx="0">
                    <c:v> 1 </c:v>
                  </c:pt>
                  <c:pt idx="1">
                    <c:v> 30 </c:v>
                  </c:pt>
                  <c:pt idx="2">
                    <c:v> 30 </c:v>
                  </c:pt>
                  <c:pt idx="3">
                    <c:v> 30 </c:v>
                  </c:pt>
                  <c:pt idx="4">
                    <c:v> 100 </c:v>
                  </c:pt>
                  <c:pt idx="5">
                    <c:v> 100 </c:v>
                  </c:pt>
                  <c:pt idx="6">
                    <c:v> 100 </c:v>
                  </c:pt>
                  <c:pt idx="7">
                    <c:v> 300 </c:v>
                  </c:pt>
                  <c:pt idx="8">
                    <c:v> 300 </c:v>
                  </c:pt>
                  <c:pt idx="9">
                    <c:v> 300 </c:v>
                  </c:pt>
                </c:lvl>
              </c:multiLvlStrCache>
            </c:multiLvlStrRef>
          </c:cat>
          <c:val>
            <c:numRef>
              <c:f>Results!$E$133:$N$133</c:f>
              <c:numCache>
                <c:formatCode>_(* #,##0_);_(* \(#,##0\);_(* "-"??_);_(@_)</c:formatCode>
                <c:ptCount val="10"/>
                <c:pt idx="0">
                  <c:v>482886.7</c:v>
                </c:pt>
                <c:pt idx="1">
                  <c:v>2270254.7999999998</c:v>
                </c:pt>
                <c:pt idx="2">
                  <c:v>2350972.5</c:v>
                </c:pt>
                <c:pt idx="3">
                  <c:v>2528656.5</c:v>
                </c:pt>
                <c:pt idx="4">
                  <c:v>6021706</c:v>
                </c:pt>
                <c:pt idx="5">
                  <c:v>6290765</c:v>
                </c:pt>
                <c:pt idx="6">
                  <c:v>6883045</c:v>
                </c:pt>
                <c:pt idx="7">
                  <c:v>14973498</c:v>
                </c:pt>
                <c:pt idx="8">
                  <c:v>15780675</c:v>
                </c:pt>
                <c:pt idx="9">
                  <c:v>17557515</c:v>
                </c:pt>
              </c:numCache>
            </c:numRef>
          </c:val>
          <c:extLst>
            <c:ext xmlns:c16="http://schemas.microsoft.com/office/drawing/2014/chart" uri="{C3380CC4-5D6E-409C-BE32-E72D297353CC}">
              <c16:uniqueId val="{00000003-EC3C-419E-BF00-A79B9CD4CA95}"/>
            </c:ext>
          </c:extLst>
        </c:ser>
        <c:dLbls>
          <c:showLegendKey val="0"/>
          <c:showVal val="0"/>
          <c:showCatName val="0"/>
          <c:showSerName val="0"/>
          <c:showPercent val="0"/>
          <c:showBubbleSize val="0"/>
        </c:dLbls>
        <c:gapWidth val="150"/>
        <c:overlap val="100"/>
        <c:axId val="1041789632"/>
        <c:axId val="1041781432"/>
      </c:barChart>
      <c:catAx>
        <c:axId val="1041789632"/>
        <c:scaling>
          <c:orientation val="minMax"/>
        </c:scaling>
        <c:delete val="0"/>
        <c:axPos val="b"/>
        <c:title>
          <c:tx>
            <c:rich>
              <a:bodyPr rot="0" spcFirstLastPara="1" vertOverflow="ellipsis" vert="horz" wrap="square" anchor="ctr" anchorCtr="1"/>
              <a:lstStyle/>
              <a:p>
                <a:pPr algn="r">
                  <a:defRPr sz="800" b="1" i="0" u="none" strike="noStrike" kern="1200" baseline="0">
                    <a:solidFill>
                      <a:schemeClr val="tx1">
                        <a:lumMod val="65000"/>
                        <a:lumOff val="35000"/>
                      </a:schemeClr>
                    </a:solidFill>
                    <a:latin typeface="+mn-lt"/>
                    <a:ea typeface="+mn-ea"/>
                    <a:cs typeface="+mn-cs"/>
                  </a:defRPr>
                </a:pPr>
                <a:r>
                  <a:rPr lang="de-DE" sz="800" b="1"/>
                  <a:t>Installed Capacity (kWp)</a:t>
                </a:r>
                <a:br>
                  <a:rPr lang="de-DE" sz="800" b="1"/>
                </a:br>
                <a:r>
                  <a:rPr lang="de-DE" sz="800" b="1"/>
                  <a:t>#</a:t>
                </a:r>
                <a:r>
                  <a:rPr lang="de-DE" sz="800" b="1" baseline="0"/>
                  <a:t> of connections</a:t>
                </a:r>
              </a:p>
              <a:p>
                <a:pPr algn="r">
                  <a:defRPr sz="800" b="1"/>
                </a:pPr>
                <a:r>
                  <a:rPr lang="de-DE" sz="800" b="1" baseline="0"/>
                  <a:t>RE fraction</a:t>
                </a:r>
              </a:p>
              <a:p>
                <a:pPr algn="r">
                  <a:defRPr sz="800" b="1"/>
                </a:pPr>
                <a:r>
                  <a:rPr lang="de-DE" sz="800" b="1" baseline="0"/>
                  <a:t>Grid length (m)</a:t>
                </a:r>
                <a:r>
                  <a:rPr lang="de-DE" sz="800" b="1"/>
                  <a:t> </a:t>
                </a:r>
              </a:p>
            </c:rich>
          </c:tx>
          <c:layout>
            <c:manualLayout>
              <c:xMode val="edge"/>
              <c:yMode val="edge"/>
              <c:x val="2.0939470301764317E-3"/>
              <c:y val="0.60455371809036129"/>
            </c:manualLayout>
          </c:layout>
          <c:overlay val="0"/>
          <c:spPr>
            <a:noFill/>
            <a:ln>
              <a:noFill/>
            </a:ln>
            <a:effectLst/>
          </c:spPr>
          <c:txPr>
            <a:bodyPr rot="0" spcFirstLastPara="1" vertOverflow="ellipsis" vert="horz" wrap="square" anchor="ctr" anchorCtr="1"/>
            <a:lstStyle/>
            <a:p>
              <a:pPr algn="r">
                <a:defRPr sz="800" b="1" i="0" u="none" strike="noStrike" kern="1200" baseline="0">
                  <a:solidFill>
                    <a:schemeClr val="tx1">
                      <a:lumMod val="65000"/>
                      <a:lumOff val="35000"/>
                    </a:schemeClr>
                  </a:solidFill>
                  <a:latin typeface="+mn-lt"/>
                  <a:ea typeface="+mn-ea"/>
                  <a:cs typeface="+mn-cs"/>
                </a:defRPr>
              </a:pPr>
              <a:endParaRPr lang="en-NP"/>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1432"/>
        <c:crosses val="autoZero"/>
        <c:auto val="1"/>
        <c:lblAlgn val="ctr"/>
        <c:lblOffset val="100"/>
        <c:noMultiLvlLbl val="1"/>
      </c:catAx>
      <c:valAx>
        <c:axId val="1041781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Total Cost</a:t>
                </a:r>
                <a:r>
                  <a:rPr lang="de-DE" b="1" baseline="0"/>
                  <a:t> (NPR)</a:t>
                </a:r>
                <a:endParaRPr lang="de-DE"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9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n-N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Commerical and Industrial System</a:t>
            </a:r>
            <a:r>
              <a:rPr lang="de-DE" b="1" baseline="0"/>
              <a:t> Costs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manualLayout>
          <c:layoutTarget val="inner"/>
          <c:xMode val="edge"/>
          <c:yMode val="edge"/>
          <c:x val="0.13074045628000383"/>
          <c:y val="0.13930555555555554"/>
          <c:w val="0.85046869514571988"/>
          <c:h val="0.60014617964421124"/>
        </c:manualLayout>
      </c:layout>
      <c:barChart>
        <c:barDir val="col"/>
        <c:grouping val="stacked"/>
        <c:varyColors val="0"/>
        <c:ser>
          <c:idx val="4"/>
          <c:order val="0"/>
          <c:tx>
            <c:strRef>
              <c:f>Results!$B$103</c:f>
              <c:strCache>
                <c:ptCount val="1"/>
                <c:pt idx="0">
                  <c:v>Total Cost</c:v>
                </c:pt>
              </c:strCache>
            </c:strRef>
          </c:tx>
          <c:spPr>
            <a:solidFill>
              <a:srgbClr val="FFC000"/>
            </a:solidFill>
            <a:ln>
              <a:noFill/>
            </a:ln>
            <a:effectLst/>
          </c:spPr>
          <c:invertIfNegative val="0"/>
          <c:cat>
            <c:numRef>
              <c:f>Results!$E$97:$N$97</c:f>
              <c:numCache>
                <c:formatCode>_(* #,##0_);_(* \(#,##0\);_(* "-"??_);_(@_)</c:formatCode>
                <c:ptCount val="10"/>
                <c:pt idx="0">
                  <c:v>10</c:v>
                </c:pt>
                <c:pt idx="1">
                  <c:v>20</c:v>
                </c:pt>
                <c:pt idx="2">
                  <c:v>30</c:v>
                </c:pt>
                <c:pt idx="3">
                  <c:v>60</c:v>
                </c:pt>
                <c:pt idx="4">
                  <c:v>100</c:v>
                </c:pt>
                <c:pt idx="5">
                  <c:v>125</c:v>
                </c:pt>
                <c:pt idx="6">
                  <c:v>150</c:v>
                </c:pt>
                <c:pt idx="7">
                  <c:v>200</c:v>
                </c:pt>
                <c:pt idx="8">
                  <c:v>250</c:v>
                </c:pt>
                <c:pt idx="9">
                  <c:v>300</c:v>
                </c:pt>
              </c:numCache>
            </c:numRef>
          </c:cat>
          <c:val>
            <c:numRef>
              <c:f>Results!$E$103:$N$103</c:f>
              <c:numCache>
                <c:formatCode>_(* #,##0_);_(* \(#,##0\);_(* "-"??_);_(@_)</c:formatCode>
                <c:ptCount val="10"/>
                <c:pt idx="0">
                  <c:v>807000</c:v>
                </c:pt>
                <c:pt idx="1">
                  <c:v>1613000</c:v>
                </c:pt>
                <c:pt idx="2">
                  <c:v>2420000</c:v>
                </c:pt>
                <c:pt idx="3">
                  <c:v>4840000</c:v>
                </c:pt>
                <c:pt idx="4">
                  <c:v>6732000</c:v>
                </c:pt>
                <c:pt idx="5">
                  <c:v>8415000</c:v>
                </c:pt>
                <c:pt idx="6">
                  <c:v>10098000</c:v>
                </c:pt>
                <c:pt idx="7">
                  <c:v>13463000</c:v>
                </c:pt>
                <c:pt idx="8">
                  <c:v>16829000</c:v>
                </c:pt>
                <c:pt idx="9">
                  <c:v>20195000</c:v>
                </c:pt>
              </c:numCache>
            </c:numRef>
          </c:val>
          <c:extLst>
            <c:ext xmlns:c16="http://schemas.microsoft.com/office/drawing/2014/chart" uri="{C3380CC4-5D6E-409C-BE32-E72D297353CC}">
              <c16:uniqueId val="{00000000-EAD9-43B6-B8C0-2348C8D26E4C}"/>
            </c:ext>
          </c:extLst>
        </c:ser>
        <c:dLbls>
          <c:showLegendKey val="0"/>
          <c:showVal val="0"/>
          <c:showCatName val="0"/>
          <c:showSerName val="0"/>
          <c:showPercent val="0"/>
          <c:showBubbleSize val="0"/>
        </c:dLbls>
        <c:gapWidth val="150"/>
        <c:overlap val="100"/>
        <c:axId val="1041789632"/>
        <c:axId val="1041781432"/>
      </c:barChart>
      <c:catAx>
        <c:axId val="104178963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System sizes (kWp</a:t>
                </a:r>
                <a:r>
                  <a:rPr lang="de-DE" b="1" baseline="0"/>
                  <a:t>)</a:t>
                </a:r>
                <a:endParaRPr lang="de-DE" b="1"/>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1432"/>
        <c:crosses val="autoZero"/>
        <c:auto val="1"/>
        <c:lblAlgn val="ctr"/>
        <c:lblOffset val="100"/>
        <c:noMultiLvlLbl val="0"/>
      </c:catAx>
      <c:valAx>
        <c:axId val="1041781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Total Cost</a:t>
                </a:r>
                <a:r>
                  <a:rPr lang="de-DE" b="1" baseline="0"/>
                  <a:t> (NPR)</a:t>
                </a:r>
                <a:endParaRPr lang="de-DE"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96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n-N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Component Cost</a:t>
            </a:r>
            <a:r>
              <a:rPr lang="de-DE" b="1" baseline="0"/>
              <a:t> Comparison</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NP"/>
        </a:p>
      </c:txPr>
    </c:title>
    <c:autoTitleDeleted val="0"/>
    <c:plotArea>
      <c:layout>
        <c:manualLayout>
          <c:layoutTarget val="inner"/>
          <c:xMode val="edge"/>
          <c:yMode val="edge"/>
          <c:x val="0.13074045628000383"/>
          <c:y val="0.13930555555555554"/>
          <c:w val="0.85046869514571988"/>
          <c:h val="0.57562760411007352"/>
        </c:manualLayout>
      </c:layout>
      <c:barChart>
        <c:barDir val="col"/>
        <c:grouping val="clustered"/>
        <c:varyColors val="0"/>
        <c:ser>
          <c:idx val="4"/>
          <c:order val="0"/>
          <c:tx>
            <c:strRef>
              <c:f>Results!$C$6</c:f>
              <c:strCache>
                <c:ptCount val="1"/>
                <c:pt idx="0">
                  <c:v>International Data</c:v>
                </c:pt>
              </c:strCache>
            </c:strRef>
          </c:tx>
          <c:spPr>
            <a:solidFill>
              <a:schemeClr val="accent5"/>
            </a:solidFill>
            <a:ln>
              <a:noFill/>
            </a:ln>
            <a:effectLst/>
          </c:spPr>
          <c:invertIfNegative val="0"/>
          <c:cat>
            <c:strRef>
              <c:f>Results!$B$7:$B$14</c:f>
              <c:strCache>
                <c:ptCount val="8"/>
                <c:pt idx="0">
                  <c:v>Solar Panel</c:v>
                </c:pt>
                <c:pt idx="1">
                  <c:v>Solar Mounting (Ground)</c:v>
                </c:pt>
                <c:pt idx="2">
                  <c:v>Solar Inverter</c:v>
                </c:pt>
                <c:pt idx="3">
                  <c:v>Battery Storage (Li ion)</c:v>
                </c:pt>
                <c:pt idx="4">
                  <c:v>Battery Storage (Lead Acid)</c:v>
                </c:pt>
                <c:pt idx="5">
                  <c:v>Battery Inverter</c:v>
                </c:pt>
                <c:pt idx="6">
                  <c:v>Back- Up Diesel Generator</c:v>
                </c:pt>
                <c:pt idx="7">
                  <c:v>Pre-paid Smart Meter</c:v>
                </c:pt>
              </c:strCache>
            </c:strRef>
          </c:cat>
          <c:val>
            <c:numRef>
              <c:f>Results!$C$7:$C$14</c:f>
              <c:numCache>
                <c:formatCode>0</c:formatCode>
                <c:ptCount val="8"/>
                <c:pt idx="0">
                  <c:v>330</c:v>
                </c:pt>
                <c:pt idx="1">
                  <c:v>62</c:v>
                </c:pt>
                <c:pt idx="2">
                  <c:v>180</c:v>
                </c:pt>
                <c:pt idx="3">
                  <c:v>380</c:v>
                </c:pt>
                <c:pt idx="4">
                  <c:v>126</c:v>
                </c:pt>
                <c:pt idx="5">
                  <c:v>205</c:v>
                </c:pt>
                <c:pt idx="6">
                  <c:v>245</c:v>
                </c:pt>
                <c:pt idx="7">
                  <c:v>50</c:v>
                </c:pt>
              </c:numCache>
            </c:numRef>
          </c:val>
          <c:extLst>
            <c:ext xmlns:c16="http://schemas.microsoft.com/office/drawing/2014/chart" uri="{C3380CC4-5D6E-409C-BE32-E72D297353CC}">
              <c16:uniqueId val="{00000000-560B-4C1B-B3F2-144FF5A12A54}"/>
            </c:ext>
          </c:extLst>
        </c:ser>
        <c:ser>
          <c:idx val="0"/>
          <c:order val="1"/>
          <c:tx>
            <c:strRef>
              <c:f>Results!$E$6</c:f>
              <c:strCache>
                <c:ptCount val="1"/>
                <c:pt idx="0">
                  <c:v>Nepal Retail Price</c:v>
                </c:pt>
              </c:strCache>
            </c:strRef>
          </c:tx>
          <c:spPr>
            <a:solidFill>
              <a:srgbClr val="FFC000"/>
            </a:solidFill>
            <a:ln>
              <a:noFill/>
            </a:ln>
            <a:effectLst/>
          </c:spPr>
          <c:invertIfNegative val="0"/>
          <c:cat>
            <c:strRef>
              <c:f>Results!$B$7:$B$14</c:f>
              <c:strCache>
                <c:ptCount val="8"/>
                <c:pt idx="0">
                  <c:v>Solar Panel</c:v>
                </c:pt>
                <c:pt idx="1">
                  <c:v>Solar Mounting (Ground)</c:v>
                </c:pt>
                <c:pt idx="2">
                  <c:v>Solar Inverter</c:v>
                </c:pt>
                <c:pt idx="3">
                  <c:v>Battery Storage (Li ion)</c:v>
                </c:pt>
                <c:pt idx="4">
                  <c:v>Battery Storage (Lead Acid)</c:v>
                </c:pt>
                <c:pt idx="5">
                  <c:v>Battery Inverter</c:v>
                </c:pt>
                <c:pt idx="6">
                  <c:v>Back- Up Diesel Generator</c:v>
                </c:pt>
                <c:pt idx="7">
                  <c:v>Pre-paid Smart Meter</c:v>
                </c:pt>
              </c:strCache>
            </c:strRef>
          </c:cat>
          <c:val>
            <c:numRef>
              <c:f>Results!$E$7:$E$14</c:f>
              <c:numCache>
                <c:formatCode>0</c:formatCode>
                <c:ptCount val="8"/>
                <c:pt idx="0">
                  <c:v>350</c:v>
                </c:pt>
                <c:pt idx="1">
                  <c:v>120</c:v>
                </c:pt>
                <c:pt idx="2">
                  <c:v>250</c:v>
                </c:pt>
                <c:pt idx="3">
                  <c:v>460</c:v>
                </c:pt>
                <c:pt idx="4">
                  <c:v>98</c:v>
                </c:pt>
                <c:pt idx="5">
                  <c:v>420</c:v>
                </c:pt>
                <c:pt idx="6">
                  <c:v>250</c:v>
                </c:pt>
                <c:pt idx="7">
                  <c:v>50</c:v>
                </c:pt>
              </c:numCache>
            </c:numRef>
          </c:val>
          <c:extLst>
            <c:ext xmlns:c16="http://schemas.microsoft.com/office/drawing/2014/chart" uri="{C3380CC4-5D6E-409C-BE32-E72D297353CC}">
              <c16:uniqueId val="{00000002-560B-4C1B-B3F2-144FF5A12A54}"/>
            </c:ext>
          </c:extLst>
        </c:ser>
        <c:dLbls>
          <c:showLegendKey val="0"/>
          <c:showVal val="0"/>
          <c:showCatName val="0"/>
          <c:showSerName val="0"/>
          <c:showPercent val="0"/>
          <c:showBubbleSize val="0"/>
        </c:dLbls>
        <c:gapWidth val="150"/>
        <c:axId val="1041789632"/>
        <c:axId val="1041781432"/>
      </c:barChart>
      <c:lineChart>
        <c:grouping val="standard"/>
        <c:varyColors val="0"/>
        <c:ser>
          <c:idx val="1"/>
          <c:order val="2"/>
          <c:tx>
            <c:strRef>
              <c:f>Results!$G$6</c:f>
              <c:strCache>
                <c:ptCount val="1"/>
                <c:pt idx="0">
                  <c:v>Nepali Retail 
Price Overcost</c:v>
                </c:pt>
              </c:strCache>
            </c:strRef>
          </c:tx>
          <c:spPr>
            <a:ln w="28575" cap="rnd">
              <a:solidFill>
                <a:srgbClr val="C00000"/>
              </a:solidFill>
              <a:round/>
            </a:ln>
            <a:effectLst/>
          </c:spPr>
          <c:marker>
            <c:symbol val="circle"/>
            <c:size val="5"/>
            <c:spPr>
              <a:solidFill>
                <a:srgbClr val="C00000"/>
              </a:solidFill>
              <a:ln w="9525">
                <a:solidFill>
                  <a:srgbClr val="C00000"/>
                </a:solidFill>
              </a:ln>
              <a:effectLst/>
            </c:spPr>
          </c:marker>
          <c:cat>
            <c:strRef>
              <c:f>Results!$B$7:$B$14</c:f>
              <c:strCache>
                <c:ptCount val="8"/>
                <c:pt idx="0">
                  <c:v>Solar Panel</c:v>
                </c:pt>
                <c:pt idx="1">
                  <c:v>Solar Mounting (Ground)</c:v>
                </c:pt>
                <c:pt idx="2">
                  <c:v>Solar Inverter</c:v>
                </c:pt>
                <c:pt idx="3">
                  <c:v>Battery Storage (Li ion)</c:v>
                </c:pt>
                <c:pt idx="4">
                  <c:v>Battery Storage (Lead Acid)</c:v>
                </c:pt>
                <c:pt idx="5">
                  <c:v>Battery Inverter</c:v>
                </c:pt>
                <c:pt idx="6">
                  <c:v>Back- Up Diesel Generator</c:v>
                </c:pt>
                <c:pt idx="7">
                  <c:v>Pre-paid Smart Meter</c:v>
                </c:pt>
              </c:strCache>
            </c:strRef>
          </c:cat>
          <c:val>
            <c:numRef>
              <c:f>Results!$G$7:$G$14</c:f>
              <c:numCache>
                <c:formatCode>0%</c:formatCode>
                <c:ptCount val="8"/>
                <c:pt idx="0">
                  <c:v>6.0606060606060608E-2</c:v>
                </c:pt>
                <c:pt idx="1">
                  <c:v>0.93548387096774188</c:v>
                </c:pt>
                <c:pt idx="2">
                  <c:v>0.3888888888888889</c:v>
                </c:pt>
                <c:pt idx="3">
                  <c:v>0.21052631578947367</c:v>
                </c:pt>
                <c:pt idx="4">
                  <c:v>-0.22222222222222221</c:v>
                </c:pt>
                <c:pt idx="5">
                  <c:v>1.0487804878048781</c:v>
                </c:pt>
                <c:pt idx="6">
                  <c:v>2.0408163265306121E-2</c:v>
                </c:pt>
                <c:pt idx="7">
                  <c:v>0</c:v>
                </c:pt>
              </c:numCache>
            </c:numRef>
          </c:val>
          <c:smooth val="0"/>
          <c:extLst>
            <c:ext xmlns:c16="http://schemas.microsoft.com/office/drawing/2014/chart" uri="{C3380CC4-5D6E-409C-BE32-E72D297353CC}">
              <c16:uniqueId val="{00000005-560B-4C1B-B3F2-144FF5A12A54}"/>
            </c:ext>
          </c:extLst>
        </c:ser>
        <c:ser>
          <c:idx val="2"/>
          <c:order val="3"/>
          <c:tx>
            <c:v>ref</c:v>
          </c:tx>
          <c:spPr>
            <a:ln w="19050" cap="rnd">
              <a:solidFill>
                <a:srgbClr val="C00000"/>
              </a:solidFill>
              <a:prstDash val="dash"/>
              <a:round/>
            </a:ln>
            <a:effectLst/>
          </c:spPr>
          <c:marker>
            <c:symbol val="none"/>
          </c:marker>
          <c:cat>
            <c:strRef>
              <c:f>Results!$B$7:$B$14</c:f>
              <c:strCache>
                <c:ptCount val="8"/>
                <c:pt idx="0">
                  <c:v>Solar Panel</c:v>
                </c:pt>
                <c:pt idx="1">
                  <c:v>Solar Mounting (Ground)</c:v>
                </c:pt>
                <c:pt idx="2">
                  <c:v>Solar Inverter</c:v>
                </c:pt>
                <c:pt idx="3">
                  <c:v>Battery Storage (Li ion)</c:v>
                </c:pt>
                <c:pt idx="4">
                  <c:v>Battery Storage (Lead Acid)</c:v>
                </c:pt>
                <c:pt idx="5">
                  <c:v>Battery Inverter</c:v>
                </c:pt>
                <c:pt idx="6">
                  <c:v>Back- Up Diesel Generator</c:v>
                </c:pt>
                <c:pt idx="7">
                  <c:v>Pre-paid Smart Meter</c:v>
                </c:pt>
              </c:strCache>
            </c:strRef>
          </c:cat>
          <c:val>
            <c:numRef>
              <c:f>Results!$H$7:$H$14</c:f>
              <c:numCache>
                <c:formatCode>0%</c:formatCode>
                <c:ptCount val="8"/>
                <c:pt idx="0">
                  <c:v>0</c:v>
                </c:pt>
                <c:pt idx="1">
                  <c:v>0</c:v>
                </c:pt>
                <c:pt idx="2">
                  <c:v>0</c:v>
                </c:pt>
                <c:pt idx="3">
                  <c:v>0</c:v>
                </c:pt>
                <c:pt idx="4">
                  <c:v>0</c:v>
                </c:pt>
                <c:pt idx="5">
                  <c:v>0</c:v>
                </c:pt>
                <c:pt idx="6">
                  <c:v>0</c:v>
                </c:pt>
                <c:pt idx="7">
                  <c:v>0</c:v>
                </c:pt>
              </c:numCache>
            </c:numRef>
          </c:val>
          <c:smooth val="0"/>
          <c:extLst>
            <c:ext xmlns:c16="http://schemas.microsoft.com/office/drawing/2014/chart" uri="{C3380CC4-5D6E-409C-BE32-E72D297353CC}">
              <c16:uniqueId val="{0000000A-560B-4C1B-B3F2-144FF5A12A54}"/>
            </c:ext>
          </c:extLst>
        </c:ser>
        <c:dLbls>
          <c:showLegendKey val="0"/>
          <c:showVal val="0"/>
          <c:showCatName val="0"/>
          <c:showSerName val="0"/>
          <c:showPercent val="0"/>
          <c:showBubbleSize val="0"/>
        </c:dLbls>
        <c:marker val="1"/>
        <c:smooth val="0"/>
        <c:axId val="888124831"/>
        <c:axId val="888120671"/>
      </c:lineChart>
      <c:catAx>
        <c:axId val="1041789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1432"/>
        <c:crosses val="autoZero"/>
        <c:auto val="1"/>
        <c:lblAlgn val="ctr"/>
        <c:lblOffset val="100"/>
        <c:noMultiLvlLbl val="0"/>
      </c:catAx>
      <c:valAx>
        <c:axId val="1041781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de-DE" b="1"/>
                  <a:t>Total Cost</a:t>
                </a:r>
                <a:r>
                  <a:rPr lang="de-DE" b="1" baseline="0"/>
                  <a:t> (NPR)</a:t>
                </a:r>
                <a:endParaRPr lang="de-DE"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NP"/>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P"/>
          </a:p>
        </c:txPr>
        <c:crossAx val="1041789632"/>
        <c:crosses val="autoZero"/>
        <c:crossBetween val="between"/>
      </c:valAx>
      <c:valAx>
        <c:axId val="888120671"/>
        <c:scaling>
          <c:orientation val="minMax"/>
          <c:max val="1.2"/>
          <c:min val="-0.25"/>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C00000"/>
                </a:solidFill>
                <a:latin typeface="+mn-lt"/>
                <a:ea typeface="+mn-ea"/>
                <a:cs typeface="+mn-cs"/>
              </a:defRPr>
            </a:pPr>
            <a:endParaRPr lang="en-NP"/>
          </a:p>
        </c:txPr>
        <c:crossAx val="888124831"/>
        <c:crosses val="max"/>
        <c:crossBetween val="between"/>
        <c:majorUnit val="0.25"/>
      </c:valAx>
      <c:catAx>
        <c:axId val="888124831"/>
        <c:scaling>
          <c:orientation val="minMax"/>
        </c:scaling>
        <c:delete val="1"/>
        <c:axPos val="b"/>
        <c:numFmt formatCode="General" sourceLinked="1"/>
        <c:majorTickMark val="out"/>
        <c:minorTickMark val="none"/>
        <c:tickLblPos val="nextTo"/>
        <c:crossAx val="888120671"/>
        <c:crosses val="autoZero"/>
        <c:auto val="1"/>
        <c:lblAlgn val="ctr"/>
        <c:lblOffset val="100"/>
        <c:noMultiLvlLbl val="0"/>
      </c:catAx>
      <c:spPr>
        <a:noFill/>
        <a:ln>
          <a:noFill/>
        </a:ln>
        <a:effectLst/>
      </c:spPr>
    </c:plotArea>
    <c:legend>
      <c:legendPos val="b"/>
      <c:legendEntry>
        <c:idx val="3"/>
        <c:delete val="1"/>
      </c:legendEntry>
      <c:layout>
        <c:manualLayout>
          <c:xMode val="edge"/>
          <c:yMode val="edge"/>
          <c:x val="0.21633813967058718"/>
          <c:y val="0.84947523393764823"/>
          <c:w val="0.5053705429569102"/>
          <c:h val="0.1505247660623517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n-NP"/>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title pos="t" align="ctr" overlay="0">
      <cx:tx>
        <cx:txData>
          <cx:v>Minigrid  Reference Cost Break-down for 30 kWp SMG </cx:v>
        </cx:txData>
      </cx:tx>
      <cx:txPr>
        <a:bodyPr spcFirstLastPara="1" vertOverflow="ellipsis" horzOverflow="overflow" wrap="square" lIns="0" tIns="0" rIns="0" bIns="0" anchor="ctr" anchorCtr="1"/>
        <a:lstStyle/>
        <a:p>
          <a:pPr algn="ctr" rtl="0">
            <a:defRPr lang="en-US" sz="1000" b="0" i="0" u="none" strike="noStrike" kern="1200" baseline="0">
              <a:solidFill>
                <a:schemeClr val="tx1"/>
              </a:solidFill>
              <a:latin typeface="+mn-lt"/>
              <a:ea typeface="+mn-ea"/>
              <a:cs typeface="+mn-cs"/>
            </a:defRPr>
          </a:pPr>
          <a:r>
            <a:rPr lang="en-US" sz="1000" b="0" i="0" u="none" strike="noStrike" kern="1200" baseline="0">
              <a:solidFill>
                <a:schemeClr val="tx1"/>
              </a:solidFill>
              <a:latin typeface="+mn-lt"/>
              <a:ea typeface="+mn-ea"/>
              <a:cs typeface="+mn-cs"/>
            </a:rPr>
            <a:t>Minigrid  Reference Cost Break-down for 30 kWp SMG </a:t>
          </a:r>
        </a:p>
      </cx:txPr>
    </cx:title>
    <cx:plotArea>
      <cx:plotAreaRegion>
        <cx:series layoutId="waterfall" uniqueId="{214AFC0D-4D4B-473B-BA87-0D6672755798}">
          <cx:spPr>
            <a:solidFill>
              <a:schemeClr val="accent4"/>
            </a:solidFill>
          </cx:spPr>
          <cx:dataPt idx="6">
            <cx:spPr>
              <a:solidFill>
                <a:srgbClr val="002060"/>
              </a:solidFill>
            </cx:spPr>
          </cx:dataPt>
          <cx:dataPt idx="7">
            <cx:spPr>
              <a:solidFill>
                <a:srgbClr val="002060"/>
              </a:solidFill>
            </cx:spPr>
          </cx:dataPt>
          <cx:dataPt idx="8">
            <cx:spPr>
              <a:solidFill>
                <a:srgbClr val="C00000"/>
              </a:solidFill>
            </cx:spPr>
          </cx:dataPt>
          <cx:dataPt idx="9">
            <cx:spPr>
              <a:solidFill>
                <a:srgbClr val="C00000"/>
              </a:solidFill>
            </cx:spPr>
          </cx:dataPt>
          <cx:dataPt idx="10">
            <cx:spPr>
              <a:solidFill>
                <a:srgbClr val="C00000"/>
              </a:solidFill>
            </cx:spPr>
          </cx:dataPt>
          <cx:dataPt idx="11">
            <cx:spPr>
              <a:solidFill>
                <a:srgbClr val="C00000"/>
              </a:solidFill>
            </cx:spPr>
          </cx:dataPt>
          <cx:dataLabels pos="outEnd">
            <cx:txPr>
              <a:bodyPr vertOverflow="overflow" horzOverflow="overflow" wrap="square" lIns="0" tIns="0" rIns="0" bIns="0"/>
              <a:lstStyle/>
              <a:p>
                <a:pPr algn="ctr" rtl="0">
                  <a:defRPr lang="en-US" sz="1000" b="0" i="0" u="none" strike="noStrike" kern="1200" baseline="0">
                    <a:solidFill>
                      <a:schemeClr val="tx1"/>
                    </a:solidFill>
                    <a:latin typeface="+mn-lt"/>
                    <a:ea typeface="+mn-ea"/>
                    <a:cs typeface="+mn-cs"/>
                  </a:defRPr>
                </a:pPr>
                <a:endParaRPr lang="en-US" sz="1000" b="0" i="0" u="none" strike="noStrike" kern="1200" baseline="0">
                  <a:solidFill>
                    <a:schemeClr val="tx1"/>
                  </a:solidFill>
                  <a:latin typeface="+mn-lt"/>
                  <a:ea typeface="+mn-ea"/>
                  <a:cs typeface="+mn-cs"/>
                </a:endParaRPr>
              </a:p>
            </cx:txPr>
            <cx:visibility seriesName="0" categoryName="0" value="1"/>
          </cx:dataLabels>
          <cx:dataId val="0"/>
          <cx:layoutPr>
            <cx:subtotals/>
          </cx:layoutPr>
        </cx:series>
      </cx:plotAreaRegion>
      <cx:axis id="0">
        <cx:catScaling gapWidth="0.5"/>
        <cx:tickLabels/>
        <cx:txPr>
          <a:bodyPr vertOverflow="overflow" horzOverflow="overflow" wrap="square" lIns="0" tIns="0" rIns="0" bIns="0"/>
          <a:lstStyle/>
          <a:p>
            <a:pPr algn="ctr" rtl="0">
              <a:defRPr lang="en-US" sz="1000" b="0" i="0" u="none" strike="noStrike" kern="1200" baseline="0">
                <a:solidFill>
                  <a:schemeClr val="tx1"/>
                </a:solidFill>
                <a:latin typeface="+mn-lt"/>
                <a:ea typeface="+mn-ea"/>
                <a:cs typeface="+mn-cs"/>
              </a:defRPr>
            </a:pPr>
            <a:endParaRPr lang="en-US" sz="1000" b="0" i="0" u="none" strike="noStrike" kern="1200" baseline="0">
              <a:solidFill>
                <a:schemeClr val="tx1"/>
              </a:solidFill>
              <a:latin typeface="+mn-lt"/>
              <a:ea typeface="+mn-ea"/>
              <a:cs typeface="+mn-cs"/>
            </a:endParaRPr>
          </a:p>
        </cx:txPr>
      </cx:axis>
      <cx:axis id="1">
        <cx:valScaling/>
        <cx:majorGridlines/>
        <cx:tickLabels/>
        <cx:txPr>
          <a:bodyPr vertOverflow="overflow" horzOverflow="overflow" wrap="square" lIns="0" tIns="0" rIns="0" bIns="0"/>
          <a:lstStyle/>
          <a:p>
            <a:pPr algn="ctr" rtl="0">
              <a:defRPr lang="en-US" sz="1000" b="0" i="0" u="none" strike="noStrike" kern="1200" baseline="0">
                <a:solidFill>
                  <a:schemeClr val="tx1"/>
                </a:solidFill>
                <a:latin typeface="+mn-lt"/>
                <a:ea typeface="+mn-ea"/>
                <a:cs typeface="+mn-cs"/>
              </a:defRPr>
            </a:pPr>
            <a:endParaRPr lang="en-US" sz="1000" b="0" i="0" u="none" strike="noStrike" kern="1200" baseline="0">
              <a:solidFill>
                <a:schemeClr val="tx1"/>
              </a:solidFill>
              <a:latin typeface="+mn-lt"/>
              <a:ea typeface="+mn-ea"/>
              <a:cs typeface="+mn-cs"/>
            </a:endParaRPr>
          </a:p>
        </cx:txPr>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val">
        <cx:f>_xlchart.v1.3</cx:f>
      </cx:numDim>
    </cx:data>
  </cx:chartData>
  <cx:chart>
    <cx:title pos="t" align="ctr" overlay="0">
      <cx:tx>
        <cx:txData>
          <cx:v>Minigrid  Reference Cost Break-down for 300 kWp SMG </cx:v>
        </cx:txData>
      </cx:tx>
      <cx:txPr>
        <a:bodyPr spcFirstLastPara="1" vertOverflow="ellipsis" horzOverflow="overflow" wrap="square" lIns="0" tIns="0" rIns="0" bIns="0" anchor="ctr" anchorCtr="1"/>
        <a:lstStyle/>
        <a:p>
          <a:pPr algn="ctr" rtl="0">
            <a:defRPr lang="en-US" sz="1000" b="0" i="0" u="none" strike="noStrike" kern="1200" baseline="0">
              <a:solidFill>
                <a:schemeClr val="tx1"/>
              </a:solidFill>
              <a:latin typeface="+mn-lt"/>
              <a:ea typeface="+mn-ea"/>
              <a:cs typeface="+mn-cs"/>
            </a:defRPr>
          </a:pPr>
          <a:r>
            <a:rPr lang="en-US" sz="1000" b="0" i="0" u="none" strike="noStrike" kern="1200" baseline="0">
              <a:solidFill>
                <a:schemeClr val="tx1"/>
              </a:solidFill>
              <a:latin typeface="+mn-lt"/>
              <a:ea typeface="+mn-ea"/>
              <a:cs typeface="+mn-cs"/>
            </a:rPr>
            <a:t>Minigrid  Reference Cost Break-down for 300 kWp SMG </a:t>
          </a:r>
        </a:p>
      </cx:txPr>
    </cx:title>
    <cx:plotArea>
      <cx:plotAreaRegion>
        <cx:series layoutId="waterfall" uniqueId="{214AFC0D-4D4B-473B-BA87-0D6672755798}">
          <cx:spPr>
            <a:solidFill>
              <a:srgbClr val="FFC000"/>
            </a:solidFill>
          </cx:spPr>
          <cx:dataPt idx="6">
            <cx:spPr>
              <a:solidFill>
                <a:srgbClr val="002060"/>
              </a:solidFill>
            </cx:spPr>
          </cx:dataPt>
          <cx:dataPt idx="7">
            <cx:spPr>
              <a:solidFill>
                <a:srgbClr val="002060"/>
              </a:solidFill>
            </cx:spPr>
          </cx:dataPt>
          <cx:dataPt idx="8">
            <cx:spPr>
              <a:solidFill>
                <a:srgbClr val="C00000"/>
              </a:solidFill>
            </cx:spPr>
          </cx:dataPt>
          <cx:dataPt idx="9">
            <cx:spPr>
              <a:solidFill>
                <a:srgbClr val="C00000"/>
              </a:solidFill>
            </cx:spPr>
          </cx:dataPt>
          <cx:dataPt idx="10">
            <cx:spPr>
              <a:solidFill>
                <a:srgbClr val="C00000"/>
              </a:solidFill>
            </cx:spPr>
          </cx:dataPt>
          <cx:dataPt idx="11">
            <cx:spPr>
              <a:solidFill>
                <a:srgbClr val="C00000"/>
              </a:solidFill>
            </cx:spPr>
          </cx:dataPt>
          <cx:dataLabels pos="outEnd">
            <cx:txPr>
              <a:bodyPr vertOverflow="overflow" horzOverflow="overflow" wrap="square" lIns="0" tIns="0" rIns="0" bIns="0"/>
              <a:lstStyle/>
              <a:p>
                <a:pPr algn="ctr" rtl="0">
                  <a:defRPr lang="en-US" sz="1000" b="0" i="0" u="none" strike="noStrike" kern="1200" baseline="0">
                    <a:solidFill>
                      <a:schemeClr val="tx1"/>
                    </a:solidFill>
                    <a:latin typeface="+mn-lt"/>
                    <a:ea typeface="+mn-ea"/>
                    <a:cs typeface="+mn-cs"/>
                  </a:defRPr>
                </a:pPr>
                <a:endParaRPr lang="en-US" sz="1000" b="0" i="0" u="none" strike="noStrike" kern="1200" baseline="0">
                  <a:solidFill>
                    <a:schemeClr val="tx1"/>
                  </a:solidFill>
                  <a:latin typeface="+mn-lt"/>
                  <a:ea typeface="+mn-ea"/>
                  <a:cs typeface="+mn-cs"/>
                </a:endParaRPr>
              </a:p>
            </cx:txPr>
            <cx:visibility seriesName="0" categoryName="0" value="1"/>
          </cx:dataLabels>
          <cx:dataId val="0"/>
          <cx:layoutPr>
            <cx:subtotals/>
          </cx:layoutPr>
        </cx:series>
      </cx:plotAreaRegion>
      <cx:axis id="0">
        <cx:catScaling gapWidth="0.5"/>
        <cx:tickLabels/>
        <cx:txPr>
          <a:bodyPr vertOverflow="overflow" horzOverflow="overflow" wrap="square" lIns="0" tIns="0" rIns="0" bIns="0"/>
          <a:lstStyle/>
          <a:p>
            <a:pPr algn="ctr" rtl="0">
              <a:defRPr lang="en-US" sz="1000" b="0" i="0" u="none" strike="noStrike" kern="1200" baseline="0">
                <a:solidFill>
                  <a:schemeClr val="tx1"/>
                </a:solidFill>
                <a:latin typeface="+mn-lt"/>
                <a:ea typeface="+mn-ea"/>
                <a:cs typeface="+mn-cs"/>
              </a:defRPr>
            </a:pPr>
            <a:endParaRPr lang="en-US" sz="1000" b="0" i="0" u="none" strike="noStrike" kern="1200" baseline="0">
              <a:solidFill>
                <a:schemeClr val="tx1"/>
              </a:solidFill>
              <a:latin typeface="+mn-lt"/>
              <a:ea typeface="+mn-ea"/>
              <a:cs typeface="+mn-cs"/>
            </a:endParaRPr>
          </a:p>
        </cx:txPr>
      </cx:axis>
      <cx:axis id="1">
        <cx:valScaling/>
        <cx:majorGridlines/>
        <cx:tickLabels/>
        <cx:txPr>
          <a:bodyPr vertOverflow="overflow" horzOverflow="overflow" wrap="square" lIns="0" tIns="0" rIns="0" bIns="0"/>
          <a:lstStyle/>
          <a:p>
            <a:pPr algn="ctr" rtl="0">
              <a:defRPr lang="en-US" sz="1000" b="0" i="0" u="none" strike="noStrike" kern="1200" baseline="0">
                <a:solidFill>
                  <a:schemeClr val="tx1"/>
                </a:solidFill>
                <a:latin typeface="+mn-lt"/>
                <a:ea typeface="+mn-ea"/>
                <a:cs typeface="+mn-cs"/>
              </a:defRPr>
            </a:pPr>
            <a:endParaRPr lang="en-US" sz="1000" b="0" i="0" u="none" strike="noStrike" kern="1200" baseline="0">
              <a:solidFill>
                <a:schemeClr val="tx1"/>
              </a:solidFill>
              <a:latin typeface="+mn-lt"/>
              <a:ea typeface="+mn-ea"/>
              <a:cs typeface="+mn-cs"/>
            </a:endParaRPr>
          </a:p>
        </cx:txPr>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microsoft.com/office/2014/relationships/chartEx" Target="../charts/chartEx2.xml"/><Relationship Id="rId2" Type="http://schemas.microsoft.com/office/2014/relationships/chartEx" Target="../charts/chartEx1.xml"/><Relationship Id="rId1" Type="http://schemas.openxmlformats.org/officeDocument/2006/relationships/chart" Target="../charts/chart1.xml"/><Relationship Id="rId5" Type="http://schemas.openxmlformats.org/officeDocument/2006/relationships/image" Target="../media/image2.emf"/><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2</xdr:col>
      <xdr:colOff>7620</xdr:colOff>
      <xdr:row>43</xdr:row>
      <xdr:rowOff>7619</xdr:rowOff>
    </xdr:to>
    <xdr:pic>
      <xdr:nvPicPr>
        <xdr:cNvPr id="3" name="Picture 2">
          <a:extLst>
            <a:ext uri="{FF2B5EF4-FFF2-40B4-BE49-F238E27FC236}">
              <a16:creationId xmlns:a16="http://schemas.microsoft.com/office/drawing/2014/main" id="{733F45A5-E090-F133-89F8-C32026BDC9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3652" y="11120783"/>
          <a:ext cx="9030142" cy="769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19049</xdr:colOff>
      <xdr:row>115</xdr:row>
      <xdr:rowOff>19050</xdr:rowOff>
    </xdr:from>
    <xdr:to>
      <xdr:col>15</xdr:col>
      <xdr:colOff>27328</xdr:colOff>
      <xdr:row>126</xdr:row>
      <xdr:rowOff>54071</xdr:rowOff>
    </xdr:to>
    <xdr:graphicFrame macro="">
      <xdr:nvGraphicFramePr>
        <xdr:cNvPr id="143" name="Chart 3">
          <a:extLst>
            <a:ext uri="{FF2B5EF4-FFF2-40B4-BE49-F238E27FC236}">
              <a16:creationId xmlns:a16="http://schemas.microsoft.com/office/drawing/2014/main" id="{B00D1E67-6DEF-474A-B5CD-DC023AE001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190499</xdr:colOff>
      <xdr:row>71</xdr:row>
      <xdr:rowOff>0</xdr:rowOff>
    </xdr:from>
    <xdr:to>
      <xdr:col>19</xdr:col>
      <xdr:colOff>390525</xdr:colOff>
      <xdr:row>89</xdr:row>
      <xdr:rowOff>142875</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687F7969-D7B8-632B-0701-59FC1C16D50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11201399" y="17881600"/>
              <a:ext cx="7604126" cy="4714875"/>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8</xdr:col>
      <xdr:colOff>76759</xdr:colOff>
      <xdr:row>92</xdr:row>
      <xdr:rowOff>200025</xdr:rowOff>
    </xdr:from>
    <xdr:to>
      <xdr:col>19</xdr:col>
      <xdr:colOff>312644</xdr:colOff>
      <xdr:row>110</xdr:row>
      <xdr:rowOff>28575</xdr:rowOff>
    </xdr:to>
    <mc:AlternateContent xmlns:mc="http://schemas.openxmlformats.org/markup-compatibility/2006">
      <mc:Choice xmlns:cx1="http://schemas.microsoft.com/office/drawing/2015/9/8/chartex" Requires="cx1">
        <xdr:graphicFrame macro="">
          <xdr:nvGraphicFramePr>
            <xdr:cNvPr id="5" name="Chart 2">
              <a:extLst>
                <a:ext uri="{FF2B5EF4-FFF2-40B4-BE49-F238E27FC236}">
                  <a16:creationId xmlns:a16="http://schemas.microsoft.com/office/drawing/2014/main" id="{901752A8-0B71-4740-BEC9-75A97FFAC4B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1087659" y="23415625"/>
              <a:ext cx="7639985" cy="440055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7</xdr:col>
      <xdr:colOff>19049</xdr:colOff>
      <xdr:row>128</xdr:row>
      <xdr:rowOff>19050</xdr:rowOff>
    </xdr:from>
    <xdr:to>
      <xdr:col>15</xdr:col>
      <xdr:colOff>27328</xdr:colOff>
      <xdr:row>139</xdr:row>
      <xdr:rowOff>54071</xdr:rowOff>
    </xdr:to>
    <xdr:graphicFrame macro="">
      <xdr:nvGraphicFramePr>
        <xdr:cNvPr id="3" name="Chart 3">
          <a:extLst>
            <a:ext uri="{FF2B5EF4-FFF2-40B4-BE49-F238E27FC236}">
              <a16:creationId xmlns:a16="http://schemas.microsoft.com/office/drawing/2014/main" id="{1499D6D2-487B-4571-BB27-0022EFC36D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22</xdr:col>
      <xdr:colOff>0</xdr:colOff>
      <xdr:row>68</xdr:row>
      <xdr:rowOff>0</xdr:rowOff>
    </xdr:from>
    <xdr:to>
      <xdr:col>49</xdr:col>
      <xdr:colOff>167640</xdr:colOff>
      <xdr:row>103</xdr:row>
      <xdr:rowOff>11430</xdr:rowOff>
    </xdr:to>
    <xdr:pic>
      <xdr:nvPicPr>
        <xdr:cNvPr id="7" name="Picture 6">
          <a:extLst>
            <a:ext uri="{FF2B5EF4-FFF2-40B4-BE49-F238E27FC236}">
              <a16:creationId xmlns:a16="http://schemas.microsoft.com/office/drawing/2014/main" id="{00C0ACB7-D793-12DC-AD85-5F56E6A6DD0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857720" y="16847820"/>
          <a:ext cx="16634460" cy="8808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176</xdr:row>
      <xdr:rowOff>19050</xdr:rowOff>
    </xdr:from>
    <xdr:to>
      <xdr:col>14</xdr:col>
      <xdr:colOff>9442</xdr:colOff>
      <xdr:row>186</xdr:row>
      <xdr:rowOff>244337</xdr:rowOff>
    </xdr:to>
    <xdr:graphicFrame macro="">
      <xdr:nvGraphicFramePr>
        <xdr:cNvPr id="3" name="Chart 2">
          <a:extLst>
            <a:ext uri="{FF2B5EF4-FFF2-40B4-BE49-F238E27FC236}">
              <a16:creationId xmlns:a16="http://schemas.microsoft.com/office/drawing/2014/main" id="{601D9AD3-6AEE-465F-937A-4079BD5790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6626</xdr:colOff>
      <xdr:row>48</xdr:row>
      <xdr:rowOff>1</xdr:rowOff>
    </xdr:from>
    <xdr:to>
      <xdr:col>14</xdr:col>
      <xdr:colOff>19878</xdr:colOff>
      <xdr:row>58</xdr:row>
      <xdr:rowOff>225288</xdr:rowOff>
    </xdr:to>
    <xdr:graphicFrame macro="">
      <xdr:nvGraphicFramePr>
        <xdr:cNvPr id="121" name="Chart 5">
          <a:extLst>
            <a:ext uri="{FF2B5EF4-FFF2-40B4-BE49-F238E27FC236}">
              <a16:creationId xmlns:a16="http://schemas.microsoft.com/office/drawing/2014/main" id="{5C5DB331-DDC3-465D-8AC5-2F7F0037D2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81</xdr:row>
      <xdr:rowOff>19050</xdr:rowOff>
    </xdr:from>
    <xdr:to>
      <xdr:col>14</xdr:col>
      <xdr:colOff>9442</xdr:colOff>
      <xdr:row>91</xdr:row>
      <xdr:rowOff>244337</xdr:rowOff>
    </xdr:to>
    <xdr:graphicFrame macro="">
      <xdr:nvGraphicFramePr>
        <xdr:cNvPr id="7" name="Chart 6">
          <a:extLst>
            <a:ext uri="{FF2B5EF4-FFF2-40B4-BE49-F238E27FC236}">
              <a16:creationId xmlns:a16="http://schemas.microsoft.com/office/drawing/2014/main" id="{CE1728E7-B5A4-4B81-B816-11DBFE9F3F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217</xdr:row>
      <xdr:rowOff>19050</xdr:rowOff>
    </xdr:from>
    <xdr:to>
      <xdr:col>14</xdr:col>
      <xdr:colOff>9442</xdr:colOff>
      <xdr:row>227</xdr:row>
      <xdr:rowOff>244337</xdr:rowOff>
    </xdr:to>
    <xdr:graphicFrame macro="">
      <xdr:nvGraphicFramePr>
        <xdr:cNvPr id="8" name="Chart 7">
          <a:extLst>
            <a:ext uri="{FF2B5EF4-FFF2-40B4-BE49-F238E27FC236}">
              <a16:creationId xmlns:a16="http://schemas.microsoft.com/office/drawing/2014/main" id="{C223D4A8-FD8B-45C5-8B84-B98F0BFAEA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15240</xdr:colOff>
      <xdr:row>140</xdr:row>
      <xdr:rowOff>68580</xdr:rowOff>
    </xdr:from>
    <xdr:to>
      <xdr:col>14</xdr:col>
      <xdr:colOff>24682</xdr:colOff>
      <xdr:row>153</xdr:row>
      <xdr:rowOff>220980</xdr:rowOff>
    </xdr:to>
    <xdr:graphicFrame macro="">
      <xdr:nvGraphicFramePr>
        <xdr:cNvPr id="119" name="Chart 1">
          <a:extLst>
            <a:ext uri="{FF2B5EF4-FFF2-40B4-BE49-F238E27FC236}">
              <a16:creationId xmlns:a16="http://schemas.microsoft.com/office/drawing/2014/main" id="{9EF1719F-9F93-414F-8F14-8F868F4D75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6626</xdr:colOff>
      <xdr:row>105</xdr:row>
      <xdr:rowOff>1</xdr:rowOff>
    </xdr:from>
    <xdr:to>
      <xdr:col>14</xdr:col>
      <xdr:colOff>19878</xdr:colOff>
      <xdr:row>115</xdr:row>
      <xdr:rowOff>225288</xdr:rowOff>
    </xdr:to>
    <xdr:graphicFrame macro="">
      <xdr:nvGraphicFramePr>
        <xdr:cNvPr id="147" name="Chart 3">
          <a:extLst>
            <a:ext uri="{FF2B5EF4-FFF2-40B4-BE49-F238E27FC236}">
              <a16:creationId xmlns:a16="http://schemas.microsoft.com/office/drawing/2014/main" id="{3AA1CD98-DB81-4DAD-AE1A-9E213D0642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190500</xdr:colOff>
      <xdr:row>4</xdr:row>
      <xdr:rowOff>239650</xdr:rowOff>
    </xdr:from>
    <xdr:to>
      <xdr:col>17</xdr:col>
      <xdr:colOff>552715</xdr:colOff>
      <xdr:row>14</xdr:row>
      <xdr:rowOff>37244</xdr:rowOff>
    </xdr:to>
    <xdr:graphicFrame macro="">
      <xdr:nvGraphicFramePr>
        <xdr:cNvPr id="2" name="Chart 1">
          <a:extLst>
            <a:ext uri="{FF2B5EF4-FFF2-40B4-BE49-F238E27FC236}">
              <a16:creationId xmlns:a16="http://schemas.microsoft.com/office/drawing/2014/main" id="{4793104B-047F-4B24-98E0-B9DD73CDF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tegrationconsultants-my.sharepoint.com/Users/mimran/Desktop/PV%20Price%20Benchmarking%20Tool_M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tegrationconsultants.sharepoint.com/sites/INT-EE/Shared%20Documents/Projects/6227%20GIZ%20Nepal%20POSTED/Work%20Platform/Solar%20PV%20Price%20Benchmarking/pv_pricing_benchmark/data/pv_database_costing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nputs"/>
      <sheetName val="Calculations"/>
      <sheetName val="Results"/>
      <sheetName val="System Configurations"/>
      <sheetName val="Systems"/>
      <sheetName val="Sheet1"/>
      <sheetName val="Lists"/>
      <sheetName val="PV Price Benchmarking Tool_Mi"/>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System Configurations"/>
      <sheetName val="Calculations"/>
      <sheetName val="Results"/>
      <sheetName val="Sheet1"/>
      <sheetName val="Lists"/>
      <sheetName val="pv_database_costing_v3"/>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31F8054-3D63-441A-92BA-1474732F4A5E}" name="Table4" displayName="Table4" ref="A1:BK619" totalsRowShown="0" headerRowDxfId="94" dataDxfId="92" headerRowBorderDxfId="93" tableBorderDxfId="91" totalsRowBorderDxfId="90">
  <autoFilter ref="A1:BK619" xr:uid="{EFAF1C42-7E6C-4A66-9CE1-4ED6C5F546DA}"/>
  <sortState xmlns:xlrd2="http://schemas.microsoft.com/office/spreadsheetml/2017/richdata2" ref="A549:BK619">
    <sortCondition ref="A1:A619"/>
  </sortState>
  <tableColumns count="63">
    <tableColumn id="1" xr3:uid="{95CE3104-D085-4A3C-83AC-66E30A0E28B4}" name="sample" dataDxfId="89"/>
    <tableColumn id="35" xr3:uid="{2EB76F40-BBA0-4DF4-BF38-8034510E553A}" name="source" dataDxfId="88"/>
    <tableColumn id="62" xr3:uid="{DDDFBC58-6ED2-41FD-A794-4E6A71B8B368}" name="Data Collected" dataDxfId="87"/>
    <tableColumn id="2" xr3:uid="{830993C2-0CB8-4606-8002-84A840F9D9D3}" name="country" dataDxfId="86"/>
    <tableColumn id="3" xr3:uid="{62AF8F37-AF6C-479D-92BB-80C523E0EABA}" name="location" dataDxfId="85"/>
    <tableColumn id="25" xr3:uid="{470BF07B-F865-432B-BC34-8EB6199387B6}" name="year" dataDxfId="84"/>
    <tableColumn id="4" xr3:uid="{39236163-211A-4EBF-B01C-23BE351FC687}" name="system_type" dataDxfId="83"/>
    <tableColumn id="5" xr3:uid="{8DEE247C-A8C6-4E9F-A83D-CBA1F1B30867}" name="system_configuration" dataDxfId="82"/>
    <tableColumn id="33" xr3:uid="{239E8A9A-257B-41E7-AA3A-ADE5F6CC2B7F}" name="manufacturer/model" dataDxfId="81"/>
    <tableColumn id="43" xr3:uid="{B57A55BB-D3AE-4F6A-8AD0-D2356FE4F998}" name="total_cost_usd" dataDxfId="80">
      <calculatedColumnFormula>Table4[[#This Row],[total_cost_npr]]*(1/'Calculations &amp; Assumptions'!$C$6)</calculatedColumnFormula>
    </tableColumn>
    <tableColumn id="42" xr3:uid="{81AEF85C-6910-413C-B8BE-DF316A52FAA0}" name="system_cost_usd_per_kwp" dataDxfId="79">
      <calculatedColumnFormula>Table4[[#This Row],[system_cost_npr_per_kwp]]*(1/'Calculations &amp; Assumptions'!$C$6)</calculatedColumnFormula>
    </tableColumn>
    <tableColumn id="41" xr3:uid="{F1871099-D8F7-457C-BAD0-13DFBB442634}" name="total_cost_npr" dataDxfId="78"/>
    <tableColumn id="40" xr3:uid="{C7C95A58-3200-4D65-83D4-BBB3809406B5}" name="system_cost_npr_per_kwp" dataDxfId="77"/>
    <tableColumn id="21" xr3:uid="{5EDA8765-3454-4E2D-A7FF-4B7A38E3281B}" name="total_cost_inr" dataDxfId="76"/>
    <tableColumn id="34" xr3:uid="{C296F1B0-1236-49DA-98C0-A68F32E31486}" name="system_cost_inr_per_kwp" dataDxfId="75">
      <calculatedColumnFormula>Table4[[#This Row],[total_cost_inr]]/Table4[[#This Row],[pv_kWp]]</calculatedColumnFormula>
    </tableColumn>
    <tableColumn id="36" xr3:uid="{FCF90742-AF8C-489F-A4F7-49942136B0B0}" name="total_cost_eur" dataDxfId="74"/>
    <tableColumn id="37" xr3:uid="{2D85E1A0-AEF3-496D-AD86-706B61616E5D}" name="system_cost_eur_per_kw" dataDxfId="73"/>
    <tableColumn id="38" xr3:uid="{F8792B6C-ECB3-4614-A23A-09EEC82E6D1D}" name="total_cost_ien" dataDxfId="72"/>
    <tableColumn id="39" xr3:uid="{149FB787-F4ED-4A21-902B-480C157DE882}" name="system_cost_ien_per_kw" dataDxfId="71"/>
    <tableColumn id="6" xr3:uid="{9D3879B9-AE9A-469C-B239-A5FC1025BE30}" name="pv_kWp" dataDxfId="70"/>
    <tableColumn id="7" xr3:uid="{0E7B42BE-1444-42A9-816E-A14EFE1E970D}" name="pv_$" dataDxfId="69"/>
    <tableColumn id="8" xr3:uid="{03EF6C80-585F-4E9C-A447-52FC749AB944}" name="mounting_$" dataDxfId="68"/>
    <tableColumn id="9" xr3:uid="{9990A765-683A-41F6-9829-EDBEDD31B88A}" name="coupling_ac_dc" dataDxfId="67"/>
    <tableColumn id="10" xr3:uid="{A19891EC-4A3C-41C5-BBA1-639C9430CA36}" name="dc_ac_disconnect" dataDxfId="66"/>
    <tableColumn id="11" xr3:uid="{5F1CE86E-5522-49B4-9E90-F93A4AE029CF}" name="Charge controller/MPPT ($)" dataDxfId="65"/>
    <tableColumn id="12" xr3:uid="{46B24E72-1EB6-4BFA-AFC5-884F3EA4A563}" name="solar_inverter_kw" dataDxfId="64"/>
    <tableColumn id="13" xr3:uid="{A9F38310-4451-47E4-9D2B-1EFF4BB1AE11}" name="solar_inverter_$" dataDxfId="63"/>
    <tableColumn id="14" xr3:uid="{0BBFBE4F-C083-487F-B137-74ADA41E7E57}" name="battery_inverter_kw" dataDxfId="62"/>
    <tableColumn id="15" xr3:uid="{B464A8CD-9950-4D19-A0D8-1A875C1584C2}" name="battery_inverter_$" dataDxfId="61"/>
    <tableColumn id="16" xr3:uid="{7CA5C3D3-0FEE-468F-8E3D-EF228979D2F9}" name="battery_kwh" dataDxfId="60"/>
    <tableColumn id="17" xr3:uid="{AD28AE0F-6106-4585-9A1B-4D8B3165FC26}" name="battery_$" dataDxfId="59"/>
    <tableColumn id="18" xr3:uid="{CB200F15-822C-4FB8-82A3-14716ACE6B1D}" name="Diesel Generator (KVA)" dataDxfId="58"/>
    <tableColumn id="19" xr3:uid="{3784C269-4819-4526-AF7A-5AB868D6F270}" name="meter" dataDxfId="57"/>
    <tableColumn id="20" xr3:uid="{EBBE2E63-1D37-4E9A-B8BA-4998AF765DB0}" name="other_bos" dataDxfId="56"/>
    <tableColumn id="22" xr3:uid="{E2D18F82-2E34-4D71-ACE1-0E989CE52F07}" name="pump_size_hp" dataDxfId="55"/>
    <tableColumn id="23" xr3:uid="{966047C0-B922-4D00-AC86-80624453E8D7}" name="pump_type" dataDxfId="54"/>
    <tableColumn id="24" xr3:uid="{3B2D7B8E-1EBE-4479-8EE2-2DCA94E2B80F}" name="uspc_yes_np" dataDxfId="53"/>
    <tableColumn id="26" xr3:uid="{4BFFA40C-6D31-4215-A673-2A27CF12423A}" name="ssl_type" dataDxfId="52"/>
    <tableColumn id="27" xr3:uid="{0C20D470-B72F-43E1-AD08-C78D09203BAD}" name="cc_ssl" dataDxfId="51"/>
    <tableColumn id="28" xr3:uid="{EDF0757A-F4ED-420F-8EA1-31AEF3773881}" name="luminary" dataDxfId="50"/>
    <tableColumn id="29" xr3:uid="{23243D27-A98E-4684-AC42-9C17AE13B6BC}" name="pole_height" dataDxfId="49"/>
    <tableColumn id="30" xr3:uid="{3A2F5C14-9984-42CB-AD73-7D3972103097}" name="leds" dataDxfId="48"/>
    <tableColumn id="31" xr3:uid="{5D0FCA0F-1709-4A06-921C-5DC220B39CCD}" name="mobile_charger" dataDxfId="47"/>
    <tableColumn id="32" xr3:uid="{89C8A32F-6E95-40DA-8819-C9F2952491F4}" name="dc_fan" dataDxfId="46"/>
    <tableColumn id="44" xr3:uid="{0A24A52F-D6F1-4AA2-8587-DAF231A1099C}" name="developer" dataDxfId="45"/>
    <tableColumn id="45" xr3:uid="{027FE01B-F81E-4879-BBE8-7A4768A7A92F}" name="site" dataDxfId="44"/>
    <tableColumn id="46" xr3:uid="{CD245CFC-884A-47C7-869C-E4023A955991}" name="renewable_fraction" dataDxfId="43"/>
    <tableColumn id="47" xr3:uid="{EB97FF1E-4608-4FB5-BFCA-5F2D579779EE}" name="total_conn" dataDxfId="42"/>
    <tableColumn id="48" xr3:uid="{8B0E55F6-07C7-49D5-A72A-DC4AC06E76E4}" name="distribution_capex_new" dataDxfId="41"/>
    <tableColumn id="49" xr3:uid="{91EC0B5A-C160-4DCE-BF27-98472E6BAB60}" name="metering" dataDxfId="40"/>
    <tableColumn id="50" xr3:uid="{556624E3-CEC4-4B3F-921F-5DE02889BBBF}" name="distribution_capex" dataDxfId="39"/>
    <tableColumn id="51" xr3:uid="{A3C747CB-2144-4E29-89C6-B4D604CDE12A}" name="usable_existing_line" dataDxfId="38"/>
    <tableColumn id="52" xr3:uid="{767A6D76-8BFD-4C75-8F52-86B91A9F958B}" name="new_line" dataDxfId="37"/>
    <tableColumn id="53" xr3:uid="{F77BABC3-8A98-4FAB-9D24-EBBC85CD562B}" name="capex_new" dataDxfId="36"/>
    <tableColumn id="54" xr3:uid="{38EAC37B-E656-49DC-A287-A920AB025E74}" name="capex" dataDxfId="35"/>
    <tableColumn id="55" xr3:uid="{49B2F257-2492-4BB8-99FB-E4C5293AE97F}" name="fuel_consumption" dataDxfId="34"/>
    <tableColumn id="56" xr3:uid="{6FD67712-9168-44DE-B41F-3941AFA1FEBD}" name="pv_kwp2" dataDxfId="33"/>
    <tableColumn id="57" xr3:uid="{2EFF9AE3-522F-424B-83D1-F42E601F13FD}" name="storage_kwh" dataDxfId="32"/>
    <tableColumn id="58" xr3:uid="{6C9C4FC1-3F0D-4D43-A910-16823DD9CE13}" name="large_users_perc" dataDxfId="31"/>
    <tableColumn id="59" xr3:uid="{165CCBB5-E76B-4237-95FA-F9D1E8B089C6}" name="density_usable" dataDxfId="30"/>
    <tableColumn id="60" xr3:uid="{C30690E5-798A-43C1-9DB1-73A09BED08FB}" name="installation" dataDxfId="29"/>
    <tableColumn id="61" xr3:uid="{876E1DDA-34F8-4D3B-A3FC-0B198BCE92F1}" name="distr_cost_per_km" dataDxfId="28"/>
    <tableColumn id="64" xr3:uid="{5CA58D29-7ED2-45CB-970D-85D1B5008FA4}" name="Column2" dataDxfId="27"/>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2F1781-B511-42F4-B81F-E4AEAF22A37F}" name="Table1" displayName="Table1" ref="B4:B10" totalsRowShown="0" headerRowDxfId="26" dataDxfId="24" headerRowBorderDxfId="25" tableBorderDxfId="23">
  <autoFilter ref="B4:B10" xr:uid="{892F1781-B511-42F4-B81F-E4AEAF22A37F}"/>
  <tableColumns count="1">
    <tableColumn id="1" xr3:uid="{9C17802C-E2B3-4F48-8D21-1E13E282EAC8}" name="System Type" dataDxfId="22"/>
  </tableColumns>
  <tableStyleInfo name="TableStyleMedium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D21CC59-DBF8-42EB-94FA-0CEF631AD5A8}" name="Table2" displayName="Table2" ref="D4:I15" totalsRowShown="0" headerRowDxfId="21" dataDxfId="19" headerRowBorderDxfId="20" tableBorderDxfId="18">
  <autoFilter ref="D4:I15" xr:uid="{AD21CC59-DBF8-42EB-94FA-0CEF631AD5A8}"/>
  <tableColumns count="6">
    <tableColumn id="1" xr3:uid="{0245CF28-7291-41EB-8DE0-C434946E3A62}" name="CIS" dataDxfId="17"/>
    <tableColumn id="6" xr3:uid="{0CB45A73-C419-4891-BA1C-715B6AF35CC7}" name="components" dataDxfId="16"/>
    <tableColumn id="2" xr3:uid="{3B180E86-2142-4881-B353-6D5A6BDAE60A}" name="SHS" dataDxfId="15"/>
    <tableColumn id="3" xr3:uid="{EBA136E6-D33A-427B-9B38-8C51A310D4A0}" name="SMG" dataDxfId="14"/>
    <tableColumn id="4" xr3:uid="{EC062394-1CC3-4CE2-AA4A-674524CE20AD}" name="SIPS" dataDxfId="13"/>
    <tableColumn id="5" xr3:uid="{06DCFDD9-492E-4DEE-8807-A3B33AB2AE58}" name="SSL" dataDxfId="12"/>
  </tableColumns>
  <tableStyleInfo name="TableStyleMedium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F75BE9C-609C-44B5-B44B-B5711991D32A}" name="Table3" displayName="Table3" ref="B2:B4" totalsRowShown="0" headerRowDxfId="11" dataDxfId="9" headerRowBorderDxfId="10" tableBorderDxfId="8" totalsRowBorderDxfId="7">
  <autoFilter ref="B2:B4" xr:uid="{4F75BE9C-609C-44B5-B44B-B5711991D32A}"/>
  <tableColumns count="1">
    <tableColumn id="1" xr3:uid="{A5546950-48D7-4D0E-B0F7-E830531DFD13}" name="Estimation Method" dataDxfId="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889D3E1-2AF9-4E7E-BFFC-F1C79435D201}" name="Table36" displayName="Table36" ref="D2:D5" totalsRowShown="0" headerRowDxfId="5" dataDxfId="3" headerRowBorderDxfId="4" tableBorderDxfId="2" totalsRowBorderDxfId="1">
  <autoFilter ref="D2:D5" xr:uid="{8889D3E1-2AF9-4E7E-BFFC-F1C79435D201}"/>
  <tableColumns count="1">
    <tableColumn id="1" xr3:uid="{2ECB2305-BC45-48D7-9234-BCD1590B27F4}" name="RE fraction" dataDxfId="0"/>
  </tableColumns>
  <tableStyleInfo name="TableStyleMedium2" showFirstColumn="0" showLastColumn="0" showRowStripes="1" showColumnStripes="0"/>
</table>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howellenergy.en.made-in-china.com/product/oFcfmtxDsMpl/China-Deep-Cycle-Rechargeable-48V-100ah-200ah-5kwh-10kwh-LFP-Liion-Solar-Energy-Storage-Forklift-Electric-Vehicle-UPS-Golf-Lithium-Ion-Iron-Phosphate-LiFePO4-Battery.html" TargetMode="External"/><Relationship Id="rId18" Type="http://schemas.openxmlformats.org/officeDocument/2006/relationships/hyperlink" Target="https://www.indiamart.com/proddetail/decor-12v-250ah-inverter-battery-for-inverter-use-25854119897.html" TargetMode="External"/><Relationship Id="rId26" Type="http://schemas.openxmlformats.org/officeDocument/2006/relationships/hyperlink" Target="https://www.alibaba.com/product-detail/Growatt-SPH10000TL3-BH-Three-Phase-High_1600430161758.html" TargetMode="External"/><Relationship Id="rId39" Type="http://schemas.openxmlformats.org/officeDocument/2006/relationships/hyperlink" Target="http://www.europe-solarshop.com/batteries/battery-type/lithium-ion/lg-chem-resu6-5.html" TargetMode="External"/><Relationship Id="rId21" Type="http://schemas.openxmlformats.org/officeDocument/2006/relationships/hyperlink" Target="https://everexceed.en.made-in-china.com/product/wKYmLRizTJtn/China-CE-and-UL-Approved-Rechargeable-Lithium-Ion-48V-100ah-LiFePO4-Solar-Battery-with-BMS-Solar-System-for-Solar-Wind-Energy-Storage-Solar.html" TargetMode="External"/><Relationship Id="rId34" Type="http://schemas.openxmlformats.org/officeDocument/2006/relationships/hyperlink" Target="https://photovoltaik.one/photovoltaik-preise" TargetMode="External"/><Relationship Id="rId7" Type="http://schemas.openxmlformats.org/officeDocument/2006/relationships/hyperlink" Target="https://www.alibaba.com/product-detail/Solar-Inverter-Solar-Inverter-SNAT-Energy_1600153399800.html" TargetMode="External"/><Relationship Id="rId2" Type="http://schemas.openxmlformats.org/officeDocument/2006/relationships/hyperlink" Target="https://www.alibaba.com/product-detail/Home-Solar-System-Panel-Hybrid-Solar_62171501224.html" TargetMode="External"/><Relationship Id="rId16" Type="http://schemas.openxmlformats.org/officeDocument/2006/relationships/hyperlink" Target="https://www.indiamart.com/proddetail/jmt-1200-tubular-battery-15407642388.html" TargetMode="External"/><Relationship Id="rId20" Type="http://schemas.openxmlformats.org/officeDocument/2006/relationships/hyperlink" Target="https://www.indiamart.com/proddetail/inverter-battery-8598217697.html" TargetMode="External"/><Relationship Id="rId29" Type="http://schemas.openxmlformats.org/officeDocument/2006/relationships/hyperlink" Target="http://www.europe-solarshop.com/sma-sunny-boy-3-6-1av-40.html" TargetMode="External"/><Relationship Id="rId41" Type="http://schemas.openxmlformats.org/officeDocument/2006/relationships/table" Target="../tables/table1.xml"/><Relationship Id="rId1" Type="http://schemas.openxmlformats.org/officeDocument/2006/relationships/hyperlink" Target="https://kenbrooksolar.com/" TargetMode="External"/><Relationship Id="rId6" Type="http://schemas.openxmlformats.org/officeDocument/2006/relationships/hyperlink" Target="https://www.alibaba.com/product-detail/5000w-6000w-24V-48v-solar-inverter_1600244276776.html" TargetMode="External"/><Relationship Id="rId11" Type="http://schemas.openxmlformats.org/officeDocument/2006/relationships/hyperlink" Target="https://cyclen.en.made-in-china.com/product/BFVQTZOHkmhs/China-Deep-Cycle-12V-24V-100ah-200ah-300ah-Lithium-Ion-LiFePO4-Battery-for-Power-and-Solar-Storage.html" TargetMode="External"/><Relationship Id="rId24" Type="http://schemas.openxmlformats.org/officeDocument/2006/relationships/hyperlink" Target="https://www.indiamart.com/proddetail/d-light-solar-inverter-home-system-20695938662.html?pos=4&amp;pla=n" TargetMode="External"/><Relationship Id="rId32" Type="http://schemas.openxmlformats.org/officeDocument/2006/relationships/hyperlink" Target="https://www.solaranlagen-portal.com/solar/solaranlage/preise/modulpreise" TargetMode="External"/><Relationship Id="rId37" Type="http://schemas.openxmlformats.org/officeDocument/2006/relationships/hyperlink" Target="https://echtsolar.de/kosten-wechselrichter/" TargetMode="External"/><Relationship Id="rId40" Type="http://schemas.openxmlformats.org/officeDocument/2006/relationships/printerSettings" Target="../printerSettings/printerSettings2.bin"/><Relationship Id="rId5" Type="http://schemas.openxmlformats.org/officeDocument/2006/relationships/hyperlink" Target="https://www.alibaba.com/product-detail/110V-220V-48V-10KVA-pv-low_1600296900508.html" TargetMode="External"/><Relationship Id="rId15" Type="http://schemas.openxmlformats.org/officeDocument/2006/relationships/hyperlink" Target="https://www.indiamart.com/proddetail/birkan-solar-panel-23484932155.html" TargetMode="External"/><Relationship Id="rId23" Type="http://schemas.openxmlformats.org/officeDocument/2006/relationships/hyperlink" Target="https://www.indiamart.com/proddetail/solar-home-light-system-21853854630.html?pos=3&amp;pla=n" TargetMode="External"/><Relationship Id="rId28" Type="http://schemas.openxmlformats.org/officeDocument/2006/relationships/hyperlink" Target="http://www.europe-solarshop.com/sma-sunny-boy-3-0-1av-40.html" TargetMode="External"/><Relationship Id="rId36" Type="http://schemas.openxmlformats.org/officeDocument/2006/relationships/hyperlink" Target="https://echtsolar.de/kosten-wechselrichter/" TargetMode="External"/><Relationship Id="rId10" Type="http://schemas.openxmlformats.org/officeDocument/2006/relationships/hyperlink" Target="https://www.alibaba.com/product-detail/5kw-off-grid-hybrid-inverter-growatt_1600429364027.html" TargetMode="External"/><Relationship Id="rId19" Type="http://schemas.openxmlformats.org/officeDocument/2006/relationships/hyperlink" Target="https://www.indiamart.com/proddetail/exide-inverter-battery-20314262948.html" TargetMode="External"/><Relationship Id="rId31" Type="http://schemas.openxmlformats.org/officeDocument/2006/relationships/hyperlink" Target="https://www.solaranlagen-portal.com/solar/solaranlage/preise/modulpreise" TargetMode="External"/><Relationship Id="rId4" Type="http://schemas.openxmlformats.org/officeDocument/2006/relationships/hyperlink" Target="https://www.alibaba.com/product-detail/Expert-Max-Off-Grid-8000W-120A_1600524975848.html" TargetMode="External"/><Relationship Id="rId9" Type="http://schemas.openxmlformats.org/officeDocument/2006/relationships/hyperlink" Target="https://www.alibaba.com/product-detail/Huawei-Hybrid-Solar-Inverter-5kw-8kw_1600545595432.html" TargetMode="External"/><Relationship Id="rId14" Type="http://schemas.openxmlformats.org/officeDocument/2006/relationships/hyperlink" Target="https://www.indiamart.com/proddetail/165-w-solar-panel-19904374597.html" TargetMode="External"/><Relationship Id="rId22" Type="http://schemas.openxmlformats.org/officeDocument/2006/relationships/hyperlink" Target="https://tsolar.en.made-in-china.com/" TargetMode="External"/><Relationship Id="rId27" Type="http://schemas.openxmlformats.org/officeDocument/2006/relationships/hyperlink" Target="https://www.alibaba.com/product-detail/Hot-sale-factory-direct-off-grid_1600449116026.html" TargetMode="External"/><Relationship Id="rId30" Type="http://schemas.openxmlformats.org/officeDocument/2006/relationships/hyperlink" Target="https://www.indiamart.com/proddetail/rooftop-solar-panel-20072738212.html?pos=5&amp;pla=n" TargetMode="External"/><Relationship Id="rId35" Type="http://schemas.openxmlformats.org/officeDocument/2006/relationships/hyperlink" Target="https://echtsolar.de/kosten-wechselrichter/" TargetMode="External"/><Relationship Id="rId8" Type="http://schemas.openxmlformats.org/officeDocument/2006/relationships/hyperlink" Target="https://www.alibaba.com/product-detail/LCD-Display-300w-600w-1000w-2000w_1600377901635.html?s=p" TargetMode="External"/><Relationship Id="rId3" Type="http://schemas.openxmlformats.org/officeDocument/2006/relationships/hyperlink" Target="https://www.alibaba.com/product-detail/Inverter-on-off-storage-grid-inverter_62173435323.html" TargetMode="External"/><Relationship Id="rId12" Type="http://schemas.openxmlformats.org/officeDocument/2006/relationships/hyperlink" Target="https://takoma.en.made-in-china.com/product/YwOQufDUXHhj/China-Tycorun-Rechargeable-Lithium-Solar-Battery-Pack-48V-50ah-100ah-150ah-200ah-400ah-500ah-Li-ion-Lithium-Ion-LiFePO4-Battery-for-UPS-Inverter-Energy-Storage.html" TargetMode="External"/><Relationship Id="rId17" Type="http://schemas.openxmlformats.org/officeDocument/2006/relationships/hyperlink" Target="https://www.indiamart.com/proddetail/front-terminal-batteries-22920273591.html" TargetMode="External"/><Relationship Id="rId25" Type="http://schemas.openxmlformats.org/officeDocument/2006/relationships/hyperlink" Target="https://linshu.en.made-in-china.com/product/nOYarIdlbVRj/China-Smart-power-meter-single-phase-with-WIFI-DIN-Rail-Mounted-electric-meters.html" TargetMode="External"/><Relationship Id="rId33" Type="http://schemas.openxmlformats.org/officeDocument/2006/relationships/hyperlink" Target="https://www.solaranlagen-portal.com/solar/solaranlage/preise/modulpreise" TargetMode="External"/><Relationship Id="rId38" Type="http://schemas.openxmlformats.org/officeDocument/2006/relationships/hyperlink" Target="http://www.europe-solarshop.com/batteries/battery-type/lithium-ion/kostal-piko-battery-li-6-sony.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8717F-4FCA-4D08-A4A8-0FC8AF62C1B7}">
  <dimension ref="A2:C38"/>
  <sheetViews>
    <sheetView showGridLines="0" tabSelected="1" zoomScaleNormal="100" workbookViewId="0"/>
  </sheetViews>
  <sheetFormatPr baseColWidth="10" defaultColWidth="8.83203125" defaultRowHeight="20.25" customHeight="1" x14ac:dyDescent="0.2"/>
  <cols>
    <col min="1" max="1" width="8.83203125" style="37"/>
    <col min="2" max="2" width="118.33203125" style="37" customWidth="1"/>
    <col min="3" max="16384" width="8.83203125" style="37"/>
  </cols>
  <sheetData>
    <row r="2" spans="1:3" ht="20.25" customHeight="1" x14ac:dyDescent="0.2">
      <c r="B2" s="92" t="s">
        <v>552</v>
      </c>
    </row>
    <row r="3" spans="1:3" ht="20.25" customHeight="1" x14ac:dyDescent="0.2">
      <c r="B3" s="93"/>
    </row>
    <row r="4" spans="1:3" ht="20.25" customHeight="1" x14ac:dyDescent="0.2">
      <c r="A4" s="43"/>
      <c r="B4" s="94" t="s">
        <v>553</v>
      </c>
      <c r="C4" s="45"/>
    </row>
    <row r="5" spans="1:3" ht="20.25" customHeight="1" x14ac:dyDescent="0.2">
      <c r="A5" s="43"/>
      <c r="B5" s="95" t="s">
        <v>554</v>
      </c>
      <c r="C5" s="45"/>
    </row>
    <row r="6" spans="1:3" ht="20.25" customHeight="1" x14ac:dyDescent="0.2">
      <c r="A6" s="43"/>
      <c r="B6" s="96" t="s">
        <v>388</v>
      </c>
      <c r="C6" s="45"/>
    </row>
    <row r="7" spans="1:3" ht="20.25" customHeight="1" x14ac:dyDescent="0.2">
      <c r="A7" s="43"/>
      <c r="B7" s="97" t="s">
        <v>130</v>
      </c>
      <c r="C7" s="45"/>
    </row>
    <row r="8" spans="1:3" ht="20.25" customHeight="1" x14ac:dyDescent="0.2">
      <c r="A8" s="43"/>
      <c r="B8" s="96" t="s">
        <v>385</v>
      </c>
      <c r="C8" s="45"/>
    </row>
    <row r="9" spans="1:3" ht="20.25" customHeight="1" x14ac:dyDescent="0.2">
      <c r="A9" s="43"/>
      <c r="B9" s="97" t="s">
        <v>386</v>
      </c>
      <c r="C9" s="45"/>
    </row>
    <row r="10" spans="1:3" ht="20.25" customHeight="1" x14ac:dyDescent="0.2">
      <c r="A10" s="43"/>
      <c r="B10" s="97" t="s">
        <v>129</v>
      </c>
      <c r="C10" s="45"/>
    </row>
    <row r="11" spans="1:3" ht="20.25" customHeight="1" x14ac:dyDescent="0.2">
      <c r="A11" s="43"/>
      <c r="B11" s="96" t="s">
        <v>396</v>
      </c>
      <c r="C11" s="45"/>
    </row>
    <row r="12" spans="1:3" ht="20.25" customHeight="1" x14ac:dyDescent="0.2">
      <c r="A12" s="43"/>
      <c r="B12" s="97" t="s">
        <v>395</v>
      </c>
      <c r="C12" s="45"/>
    </row>
    <row r="13" spans="1:3" ht="20.25" customHeight="1" x14ac:dyDescent="0.2">
      <c r="A13" s="43"/>
      <c r="B13" s="97" t="s">
        <v>397</v>
      </c>
      <c r="C13" s="45"/>
    </row>
    <row r="14" spans="1:3" ht="20.25" customHeight="1" x14ac:dyDescent="0.2">
      <c r="A14" s="43"/>
      <c r="B14" s="96" t="s">
        <v>389</v>
      </c>
      <c r="C14" s="45"/>
    </row>
    <row r="15" spans="1:3" ht="20.25" customHeight="1" x14ac:dyDescent="0.2">
      <c r="A15" s="43"/>
      <c r="B15" s="97" t="s">
        <v>399</v>
      </c>
      <c r="C15" s="45"/>
    </row>
    <row r="16" spans="1:3" ht="20.25" customHeight="1" x14ac:dyDescent="0.2">
      <c r="A16" s="43"/>
      <c r="B16" s="97" t="s">
        <v>401</v>
      </c>
      <c r="C16" s="45"/>
    </row>
    <row r="17" spans="1:3" ht="20.25" customHeight="1" x14ac:dyDescent="0.2">
      <c r="A17" s="43"/>
      <c r="B17" s="97" t="s">
        <v>400</v>
      </c>
      <c r="C17" s="45"/>
    </row>
    <row r="18" spans="1:3" ht="20.25" customHeight="1" x14ac:dyDescent="0.2">
      <c r="A18" s="43"/>
      <c r="B18" s="96" t="s">
        <v>390</v>
      </c>
      <c r="C18" s="45"/>
    </row>
    <row r="19" spans="1:3" ht="20.25" customHeight="1" x14ac:dyDescent="0.2">
      <c r="A19" s="43"/>
      <c r="B19" s="97" t="s">
        <v>398</v>
      </c>
      <c r="C19" s="45"/>
    </row>
    <row r="20" spans="1:3" ht="20.25" customHeight="1" x14ac:dyDescent="0.2">
      <c r="A20" s="43"/>
      <c r="B20" s="97" t="s">
        <v>387</v>
      </c>
      <c r="C20" s="45"/>
    </row>
    <row r="21" spans="1:3" ht="20.25" customHeight="1" x14ac:dyDescent="0.2">
      <c r="A21" s="43"/>
      <c r="B21" s="96" t="s">
        <v>391</v>
      </c>
      <c r="C21" s="45"/>
    </row>
    <row r="22" spans="1:3" ht="20.25" customHeight="1" x14ac:dyDescent="0.2">
      <c r="A22" s="43"/>
      <c r="B22" s="97" t="s">
        <v>392</v>
      </c>
      <c r="C22" s="45"/>
    </row>
    <row r="23" spans="1:3" ht="20.25" customHeight="1" x14ac:dyDescent="0.2">
      <c r="A23" s="43"/>
      <c r="B23" s="97" t="s">
        <v>393</v>
      </c>
      <c r="C23" s="45"/>
    </row>
    <row r="24" spans="1:3" ht="20.25" customHeight="1" x14ac:dyDescent="0.2">
      <c r="A24" s="43"/>
      <c r="B24" s="97" t="s">
        <v>394</v>
      </c>
      <c r="C24" s="45"/>
    </row>
    <row r="25" spans="1:3" ht="20.25" customHeight="1" x14ac:dyDescent="0.2">
      <c r="B25" s="98"/>
    </row>
    <row r="26" spans="1:3" ht="20.25" customHeight="1" x14ac:dyDescent="0.2">
      <c r="A26" s="43"/>
      <c r="B26" s="94" t="s">
        <v>583</v>
      </c>
      <c r="C26" s="45"/>
    </row>
    <row r="27" spans="1:3" ht="51.75" customHeight="1" x14ac:dyDescent="0.2">
      <c r="A27" s="43"/>
      <c r="B27" s="95" t="s">
        <v>585</v>
      </c>
      <c r="C27" s="45"/>
    </row>
    <row r="28" spans="1:3" ht="20.25" customHeight="1" x14ac:dyDescent="0.2">
      <c r="A28" s="43"/>
      <c r="B28" s="43"/>
      <c r="C28" s="45"/>
    </row>
    <row r="29" spans="1:3" ht="20.25" customHeight="1" x14ac:dyDescent="0.2">
      <c r="A29" s="43"/>
      <c r="B29" s="94" t="s">
        <v>584</v>
      </c>
      <c r="C29" s="45"/>
    </row>
    <row r="30" spans="1:3" ht="45" customHeight="1" x14ac:dyDescent="0.2">
      <c r="A30" s="43"/>
      <c r="B30" s="95" t="s">
        <v>555</v>
      </c>
      <c r="C30" s="45"/>
    </row>
    <row r="32" spans="1:3" ht="20.25" customHeight="1" x14ac:dyDescent="0.2">
      <c r="A32" s="43"/>
      <c r="B32" s="94" t="s">
        <v>556</v>
      </c>
      <c r="C32" s="45"/>
    </row>
    <row r="33" spans="1:3" ht="45" customHeight="1" x14ac:dyDescent="0.2">
      <c r="A33" s="43"/>
      <c r="B33" s="95" t="s">
        <v>557</v>
      </c>
      <c r="C33" s="45"/>
    </row>
    <row r="35" spans="1:3" ht="20.25" customHeight="1" x14ac:dyDescent="0.2">
      <c r="B35" s="94" t="s">
        <v>558</v>
      </c>
    </row>
    <row r="36" spans="1:3" ht="20.25" customHeight="1" x14ac:dyDescent="0.2">
      <c r="B36" s="109" t="s">
        <v>559</v>
      </c>
    </row>
    <row r="37" spans="1:3" ht="20.25" customHeight="1" x14ac:dyDescent="0.2">
      <c r="B37" s="108" t="s">
        <v>561</v>
      </c>
    </row>
    <row r="38" spans="1:3" ht="20.25" customHeight="1" x14ac:dyDescent="0.2">
      <c r="B38" s="107" t="s">
        <v>560</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C73CD-FD94-4B11-BBE7-2A9C83AD65D5}">
  <dimension ref="A1:BK619"/>
  <sheetViews>
    <sheetView showGridLines="0" zoomScaleNormal="100" workbookViewId="0"/>
  </sheetViews>
  <sheetFormatPr baseColWidth="10" defaultColWidth="8.83203125" defaultRowHeight="15" x14ac:dyDescent="0.2"/>
  <cols>
    <col min="2" max="3" width="25.6640625" customWidth="1"/>
    <col min="4" max="4" width="50.5" customWidth="1"/>
    <col min="5" max="5" width="16.5" customWidth="1"/>
    <col min="6" max="6" width="0.1640625" customWidth="1"/>
    <col min="7" max="7" width="18.83203125" customWidth="1"/>
    <col min="8" max="8" width="21.1640625" customWidth="1"/>
    <col min="9" max="11" width="46.6640625" customWidth="1"/>
    <col min="12" max="13" width="26.5" customWidth="1"/>
    <col min="14" max="14" width="24.6640625" customWidth="1"/>
    <col min="15" max="17" width="27" customWidth="1"/>
    <col min="18" max="19" width="27" hidden="1" customWidth="1"/>
    <col min="20" max="22" width="24.6640625" customWidth="1"/>
    <col min="23" max="23" width="32.83203125" customWidth="1"/>
    <col min="24" max="25" width="24.6640625" customWidth="1"/>
    <col min="26" max="26" width="25.5" customWidth="1"/>
    <col min="27" max="29" width="24.6640625" customWidth="1"/>
    <col min="30" max="30" width="27.6640625" customWidth="1"/>
    <col min="31" max="32" width="24.6640625" customWidth="1"/>
    <col min="33" max="33" width="19" customWidth="1"/>
    <col min="34" max="34" width="11.6640625" customWidth="1"/>
    <col min="35" max="35" width="14.33203125" customWidth="1"/>
    <col min="36" max="36" width="17.5" customWidth="1"/>
    <col min="37" max="38" width="18" customWidth="1"/>
    <col min="39" max="39" width="13.83203125" customWidth="1"/>
    <col min="40" max="41" width="8.83203125" customWidth="1"/>
    <col min="42" max="42" width="5.5" bestFit="1" customWidth="1"/>
    <col min="56" max="56" width="8.33203125" customWidth="1"/>
  </cols>
  <sheetData>
    <row r="1" spans="1:63" ht="58" thickBot="1" x14ac:dyDescent="0.25">
      <c r="A1" s="7" t="s">
        <v>0</v>
      </c>
      <c r="B1" s="7" t="s">
        <v>1</v>
      </c>
      <c r="C1" s="7" t="s">
        <v>542</v>
      </c>
      <c r="D1" s="8" t="s">
        <v>2</v>
      </c>
      <c r="E1" s="8" t="s">
        <v>3</v>
      </c>
      <c r="F1" s="8" t="s">
        <v>4</v>
      </c>
      <c r="G1" s="9" t="s">
        <v>5</v>
      </c>
      <c r="H1" s="9" t="s">
        <v>6</v>
      </c>
      <c r="I1" s="9" t="s">
        <v>7</v>
      </c>
      <c r="J1" s="9" t="s">
        <v>407</v>
      </c>
      <c r="K1" s="9" t="s">
        <v>408</v>
      </c>
      <c r="L1" s="9" t="s">
        <v>8</v>
      </c>
      <c r="M1" s="9" t="s">
        <v>9</v>
      </c>
      <c r="N1" s="9" t="s">
        <v>544</v>
      </c>
      <c r="O1" s="9" t="s">
        <v>545</v>
      </c>
      <c r="P1" s="9" t="s">
        <v>10</v>
      </c>
      <c r="Q1" s="9" t="s">
        <v>11</v>
      </c>
      <c r="R1" s="9" t="s">
        <v>12</v>
      </c>
      <c r="S1" s="9" t="s">
        <v>13</v>
      </c>
      <c r="T1" s="8" t="s">
        <v>14</v>
      </c>
      <c r="U1" s="8" t="s">
        <v>15</v>
      </c>
      <c r="V1" s="8" t="s">
        <v>16</v>
      </c>
      <c r="W1" s="8" t="s">
        <v>17</v>
      </c>
      <c r="X1" s="8" t="s">
        <v>18</v>
      </c>
      <c r="Y1" s="8" t="s">
        <v>19</v>
      </c>
      <c r="Z1" s="8" t="s">
        <v>20</v>
      </c>
      <c r="AA1" s="8" t="s">
        <v>21</v>
      </c>
      <c r="AB1" s="8" t="s">
        <v>22</v>
      </c>
      <c r="AC1" s="8" t="s">
        <v>23</v>
      </c>
      <c r="AD1" s="8" t="s">
        <v>24</v>
      </c>
      <c r="AE1" s="8" t="s">
        <v>25</v>
      </c>
      <c r="AF1" s="8" t="s">
        <v>26</v>
      </c>
      <c r="AG1" s="8" t="s">
        <v>27</v>
      </c>
      <c r="AH1" s="2" t="s">
        <v>28</v>
      </c>
      <c r="AI1" s="8" t="s">
        <v>29</v>
      </c>
      <c r="AJ1" s="8" t="s">
        <v>30</v>
      </c>
      <c r="AK1" s="8" t="s">
        <v>31</v>
      </c>
      <c r="AL1" s="8" t="s">
        <v>32</v>
      </c>
      <c r="AM1" s="8" t="s">
        <v>33</v>
      </c>
      <c r="AN1" s="8" t="s">
        <v>34</v>
      </c>
      <c r="AO1" s="8" t="s">
        <v>35</v>
      </c>
      <c r="AP1" s="8" t="s">
        <v>36</v>
      </c>
      <c r="AQ1" s="8" t="s">
        <v>37</v>
      </c>
      <c r="AR1" s="8" t="s">
        <v>38</v>
      </c>
      <c r="AS1" s="8" t="s">
        <v>409</v>
      </c>
      <c r="AT1" s="8" t="s">
        <v>410</v>
      </c>
      <c r="AU1" s="8" t="s">
        <v>411</v>
      </c>
      <c r="AV1" s="8" t="s">
        <v>412</v>
      </c>
      <c r="AW1" s="8" t="s">
        <v>413</v>
      </c>
      <c r="AX1" s="8" t="s">
        <v>414</v>
      </c>
      <c r="AY1" s="8" t="s">
        <v>415</v>
      </c>
      <c r="AZ1" s="76" t="s">
        <v>416</v>
      </c>
      <c r="BA1" s="8" t="s">
        <v>417</v>
      </c>
      <c r="BB1" s="8" t="s">
        <v>418</v>
      </c>
      <c r="BC1" s="8" t="s">
        <v>419</v>
      </c>
      <c r="BD1" s="8" t="s">
        <v>420</v>
      </c>
      <c r="BE1" s="8" t="s">
        <v>421</v>
      </c>
      <c r="BF1" s="8" t="s">
        <v>422</v>
      </c>
      <c r="BG1" s="8" t="s">
        <v>423</v>
      </c>
      <c r="BH1" s="8" t="s">
        <v>424</v>
      </c>
      <c r="BI1" s="8" t="s">
        <v>425</v>
      </c>
      <c r="BJ1" s="8" t="s">
        <v>426</v>
      </c>
      <c r="BK1" s="8" t="s">
        <v>581</v>
      </c>
    </row>
    <row r="2" spans="1:63" ht="30" thickBot="1" x14ac:dyDescent="0.25">
      <c r="A2" s="3">
        <v>1</v>
      </c>
      <c r="B2" s="3" t="s">
        <v>53</v>
      </c>
      <c r="C2" s="3" t="s">
        <v>543</v>
      </c>
      <c r="D2" s="1" t="s">
        <v>40</v>
      </c>
      <c r="E2" s="1"/>
      <c r="F2" s="1">
        <v>2021</v>
      </c>
      <c r="G2" s="1" t="s">
        <v>54</v>
      </c>
      <c r="H2" s="1" t="s">
        <v>55</v>
      </c>
      <c r="I2" s="1"/>
      <c r="J2" s="113">
        <f>Table4[[#This Row],[total_cost_npr]]*(1/'Calculations &amp; Assumptions'!$C$6)</f>
        <v>577.95842956120089</v>
      </c>
      <c r="K2" s="113">
        <f>Table4[[#This Row],[system_cost_npr_per_kwp]]*(1/'Calculations &amp; Assumptions'!$C$6)</f>
        <v>577.95842956120089</v>
      </c>
      <c r="L2" s="23">
        <f>IF(Table4[[#This Row],[total_cost_inr]]&gt;0, Table4[[#This Row],[total_cost_inr]]*'Calculations &amp; Assumptions'!$C$7,IF(Table4[[#This Row],[total_cost_eur]]&gt;0,Table4[[#This Row],[total_cost_eur]]*'Calculations &amp; Assumptions'!$C$5,0))</f>
        <v>75076.800000000003</v>
      </c>
      <c r="M2" s="77">
        <f>IF(H2="smartmeter_1ph",Table4[[#This Row],[total_cost_npr]],Table4[[#This Row],[total_cost_npr]]/Table4[[#This Row],[pv_kWp]])</f>
        <v>75076.800000000003</v>
      </c>
      <c r="N2" s="1">
        <f>Table4[[#This Row],[system_cost_inr_per_kwp]]*Table4[[#This Row],[pv_kWp]]</f>
        <v>46923</v>
      </c>
      <c r="O2" s="1">
        <v>46923</v>
      </c>
      <c r="P2" s="1"/>
      <c r="Q2" s="1"/>
      <c r="R2" s="1"/>
      <c r="S2" s="1"/>
      <c r="T2" s="1">
        <v>1</v>
      </c>
      <c r="U2" s="1"/>
      <c r="V2" s="1"/>
      <c r="W2" s="1"/>
      <c r="X2" s="1"/>
      <c r="Y2" s="1"/>
      <c r="Z2" s="1"/>
      <c r="AA2" s="1"/>
      <c r="AB2" s="1"/>
      <c r="AC2" s="1"/>
      <c r="AD2" s="1"/>
      <c r="AE2" s="1"/>
      <c r="AF2" s="1"/>
      <c r="AG2" s="1"/>
      <c r="AH2" s="6"/>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row>
    <row r="3" spans="1:63" ht="30" thickBot="1" x14ac:dyDescent="0.25">
      <c r="A3" s="3">
        <v>2</v>
      </c>
      <c r="B3" s="3" t="s">
        <v>53</v>
      </c>
      <c r="C3" s="3" t="s">
        <v>543</v>
      </c>
      <c r="D3" s="1" t="s">
        <v>40</v>
      </c>
      <c r="E3" s="1"/>
      <c r="F3" s="1">
        <v>2021</v>
      </c>
      <c r="G3" s="1" t="s">
        <v>54</v>
      </c>
      <c r="H3" s="1" t="s">
        <v>55</v>
      </c>
      <c r="I3" s="1"/>
      <c r="J3" s="113">
        <f>Table4[[#This Row],[total_cost_npr]]*(1/'Calculations &amp; Assumptions'!$C$6)</f>
        <v>1062.7251732101615</v>
      </c>
      <c r="K3" s="113">
        <f>Table4[[#This Row],[system_cost_npr_per_kwp]]*(1/'Calculations &amp; Assumptions'!$C$6)</f>
        <v>531.36258660508076</v>
      </c>
      <c r="L3" s="23">
        <f>IF(Table4[[#This Row],[total_cost_inr]]&gt;0, Table4[[#This Row],[total_cost_inr]]*'Calculations &amp; Assumptions'!$C$7,IF(Table4[[#This Row],[total_cost_eur]]&gt;0,Table4[[#This Row],[total_cost_eur]]*'Calculations &amp; Assumptions'!$C$5,0))</f>
        <v>138048</v>
      </c>
      <c r="M3" s="77">
        <f>IF(H3="smartmeter_1ph",Table4[[#This Row],[total_cost_npr]],Table4[[#This Row],[total_cost_npr]]/Table4[[#This Row],[pv_kWp]])</f>
        <v>69024</v>
      </c>
      <c r="N3" s="1">
        <f>Table4[[#This Row],[system_cost_inr_per_kwp]]*Table4[[#This Row],[pv_kWp]]</f>
        <v>86280</v>
      </c>
      <c r="O3" s="1">
        <v>43140</v>
      </c>
      <c r="P3" s="1"/>
      <c r="Q3" s="1"/>
      <c r="R3" s="1"/>
      <c r="S3" s="1"/>
      <c r="T3" s="1">
        <v>2</v>
      </c>
      <c r="U3" s="1"/>
      <c r="V3" s="1"/>
      <c r="W3" s="1"/>
      <c r="X3" s="1"/>
      <c r="Y3" s="1"/>
      <c r="Z3" s="1"/>
      <c r="AA3" s="1"/>
      <c r="AB3" s="1"/>
      <c r="AC3" s="1"/>
      <c r="AD3" s="1"/>
      <c r="AE3" s="1"/>
      <c r="AF3" s="1"/>
      <c r="AG3" s="1"/>
      <c r="AH3" s="6"/>
      <c r="AI3" s="14"/>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row>
    <row r="4" spans="1:63" ht="30" thickBot="1" x14ac:dyDescent="0.25">
      <c r="A4" s="3">
        <v>3</v>
      </c>
      <c r="B4" s="3" t="s">
        <v>53</v>
      </c>
      <c r="C4" s="3" t="s">
        <v>543</v>
      </c>
      <c r="D4" s="1" t="s">
        <v>40</v>
      </c>
      <c r="E4" s="1"/>
      <c r="F4" s="1">
        <v>2021</v>
      </c>
      <c r="G4" s="1" t="s">
        <v>54</v>
      </c>
      <c r="H4" s="1" t="s">
        <v>55</v>
      </c>
      <c r="I4" s="1"/>
      <c r="J4" s="113">
        <f>Table4[[#This Row],[total_cost_npr]]*(1/'Calculations &amp; Assumptions'!$C$6)</f>
        <v>1552.7020785219397</v>
      </c>
      <c r="K4" s="113">
        <f>Table4[[#This Row],[system_cost_npr_per_kwp]]*(1/'Calculations &amp; Assumptions'!$C$6)</f>
        <v>517.56735950731331</v>
      </c>
      <c r="L4" s="23">
        <f>IF(Table4[[#This Row],[total_cost_inr]]&gt;0, Table4[[#This Row],[total_cost_inr]]*'Calculations &amp; Assumptions'!$C$7,IF(Table4[[#This Row],[total_cost_eur]]&gt;0,Table4[[#This Row],[total_cost_eur]]*'Calculations &amp; Assumptions'!$C$5,0))</f>
        <v>201696</v>
      </c>
      <c r="M4" s="77">
        <f>IF(H4="smartmeter_1ph",Table4[[#This Row],[total_cost_npr]],Table4[[#This Row],[total_cost_npr]]/Table4[[#This Row],[pv_kWp]])</f>
        <v>67232</v>
      </c>
      <c r="N4" s="1">
        <f>Table4[[#This Row],[system_cost_inr_per_kwp]]*Table4[[#This Row],[pv_kWp]]</f>
        <v>126060</v>
      </c>
      <c r="O4" s="1">
        <v>42020</v>
      </c>
      <c r="P4" s="1"/>
      <c r="Q4" s="1"/>
      <c r="R4" s="1"/>
      <c r="S4" s="1"/>
      <c r="T4" s="1">
        <v>3</v>
      </c>
      <c r="U4" s="1"/>
      <c r="V4" s="1"/>
      <c r="W4" s="1"/>
      <c r="X4" s="1"/>
      <c r="Y4" s="1"/>
      <c r="Z4" s="1"/>
      <c r="AA4" s="1"/>
      <c r="AB4" s="1"/>
      <c r="AC4" s="1"/>
      <c r="AD4" s="1"/>
      <c r="AE4" s="1"/>
      <c r="AF4" s="1"/>
      <c r="AG4" s="1"/>
      <c r="AH4" s="6"/>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row>
    <row r="5" spans="1:63" ht="30" thickBot="1" x14ac:dyDescent="0.25">
      <c r="A5" s="3">
        <v>4</v>
      </c>
      <c r="B5" s="3" t="s">
        <v>53</v>
      </c>
      <c r="C5" s="3" t="s">
        <v>543</v>
      </c>
      <c r="D5" s="1" t="s">
        <v>40</v>
      </c>
      <c r="E5" s="1"/>
      <c r="F5" s="1">
        <v>2021</v>
      </c>
      <c r="G5" s="1" t="s">
        <v>54</v>
      </c>
      <c r="H5" s="1" t="s">
        <v>55</v>
      </c>
      <c r="I5" s="1"/>
      <c r="J5" s="113">
        <f>Table4[[#This Row],[total_cost_npr]]*(1/'Calculations &amp; Assumptions'!$C$6)</f>
        <v>47095.919938414161</v>
      </c>
      <c r="K5" s="113">
        <f>Table4[[#This Row],[system_cost_npr_per_kwp]]*(1/'Calculations &amp; Assumptions'!$C$6)</f>
        <v>470.95919938414158</v>
      </c>
      <c r="L5" s="23">
        <f>IF(Table4[[#This Row],[total_cost_inr]]&gt;0, Table4[[#This Row],[total_cost_inr]]*'Calculations &amp; Assumptions'!$C$7,IF(Table4[[#This Row],[total_cost_eur]]&gt;0,Table4[[#This Row],[total_cost_eur]]*'Calculations &amp; Assumptions'!$C$5,0))</f>
        <v>6117760</v>
      </c>
      <c r="M5" s="77">
        <f>IF(H5="smartmeter_1ph",Table4[[#This Row],[total_cost_npr]],Table4[[#This Row],[total_cost_npr]]/Table4[[#This Row],[pv_kWp]])</f>
        <v>61177.599999999999</v>
      </c>
      <c r="N5" s="1">
        <f>Table4[[#This Row],[system_cost_inr_per_kwp]]*Table4[[#This Row],[pv_kWp]]</f>
        <v>3823600</v>
      </c>
      <c r="O5" s="1">
        <v>38236</v>
      </c>
      <c r="P5" s="1"/>
      <c r="Q5" s="1"/>
      <c r="R5" s="1"/>
      <c r="S5" s="1"/>
      <c r="T5" s="1">
        <v>100</v>
      </c>
      <c r="U5" s="1"/>
      <c r="V5" s="1"/>
      <c r="W5" s="1"/>
      <c r="X5" s="1"/>
      <c r="Y5" s="1"/>
      <c r="Z5" s="1"/>
      <c r="AA5" s="1"/>
      <c r="AB5" s="1"/>
      <c r="AC5" s="1"/>
      <c r="AD5" s="1"/>
      <c r="AE5" s="1"/>
      <c r="AF5" s="1"/>
      <c r="AG5" s="1"/>
      <c r="AH5" s="6"/>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row>
    <row r="6" spans="1:63" ht="30" thickBot="1" x14ac:dyDescent="0.25">
      <c r="A6" s="3">
        <v>5</v>
      </c>
      <c r="B6" s="3" t="s">
        <v>53</v>
      </c>
      <c r="C6" s="3" t="s">
        <v>543</v>
      </c>
      <c r="D6" s="1" t="s">
        <v>40</v>
      </c>
      <c r="E6" s="1"/>
      <c r="F6" s="1">
        <v>2021</v>
      </c>
      <c r="G6" s="1" t="s">
        <v>54</v>
      </c>
      <c r="H6" s="1" t="s">
        <v>55</v>
      </c>
      <c r="I6" s="1"/>
      <c r="J6" s="113">
        <f>Table4[[#This Row],[total_cost_npr]]*(1/'Calculations &amp; Assumptions'!$C$6)</f>
        <v>221006.9284064665</v>
      </c>
      <c r="K6" s="113">
        <f>Table4[[#This Row],[system_cost_npr_per_kwp]]*(1/'Calculations &amp; Assumptions'!$C$6)</f>
        <v>442.013856812933</v>
      </c>
      <c r="L6" s="23">
        <f>IF(Table4[[#This Row],[total_cost_inr]]&gt;0, Table4[[#This Row],[total_cost_inr]]*'Calculations &amp; Assumptions'!$C$7,IF(Table4[[#This Row],[total_cost_eur]]&gt;0,Table4[[#This Row],[total_cost_eur]]*'Calculations &amp; Assumptions'!$C$5,0))</f>
        <v>28708800</v>
      </c>
      <c r="M6" s="77">
        <f>IF(H6="smartmeter_1ph",Table4[[#This Row],[total_cost_npr]],Table4[[#This Row],[total_cost_npr]]/Table4[[#This Row],[pv_kWp]])</f>
        <v>57417.599999999999</v>
      </c>
      <c r="N6" s="1">
        <f>Table4[[#This Row],[system_cost_inr_per_kwp]]*Table4[[#This Row],[pv_kWp]]</f>
        <v>17943000</v>
      </c>
      <c r="O6" s="1">
        <v>35886</v>
      </c>
      <c r="P6" s="1"/>
      <c r="Q6" s="1"/>
      <c r="R6" s="1"/>
      <c r="S6" s="1"/>
      <c r="T6" s="1">
        <v>500</v>
      </c>
      <c r="U6" s="1"/>
      <c r="V6" s="1"/>
      <c r="W6" s="1"/>
      <c r="X6" s="1"/>
      <c r="Y6" s="1"/>
      <c r="Z6" s="1"/>
      <c r="AA6" s="1"/>
      <c r="AB6" s="1"/>
      <c r="AC6" s="1"/>
      <c r="AD6" s="1"/>
      <c r="AE6" s="1"/>
      <c r="AF6" s="1"/>
      <c r="AG6" s="1"/>
      <c r="AH6" s="6"/>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row>
    <row r="7" spans="1:63" ht="16" thickBot="1" x14ac:dyDescent="0.25">
      <c r="A7" s="3">
        <v>6</v>
      </c>
      <c r="B7" s="3" t="s">
        <v>59</v>
      </c>
      <c r="C7" s="3" t="s">
        <v>543</v>
      </c>
      <c r="D7" s="1" t="s">
        <v>40</v>
      </c>
      <c r="E7" s="1"/>
      <c r="F7" s="1">
        <v>2022</v>
      </c>
      <c r="G7" s="1" t="s">
        <v>54</v>
      </c>
      <c r="H7" s="1" t="s">
        <v>55</v>
      </c>
      <c r="I7" s="1"/>
      <c r="J7" s="113">
        <f>Table4[[#This Row],[total_cost_npr]]*(1/'Calculations &amp; Assumptions'!$C$6)</f>
        <v>1157.3210161662817</v>
      </c>
      <c r="K7" s="113">
        <f>Table4[[#This Row],[system_cost_npr_per_kwp]]*(1/'Calculations &amp; Assumptions'!$C$6)</f>
        <v>578.66050808314083</v>
      </c>
      <c r="L7" s="23">
        <f>IF(Table4[[#This Row],[total_cost_inr]]&gt;0, Table4[[#This Row],[total_cost_inr]]*'Calculations &amp; Assumptions'!$C$7,IF(Table4[[#This Row],[total_cost_eur]]&gt;0,Table4[[#This Row],[total_cost_eur]]*'Calculations &amp; Assumptions'!$C$5,0))</f>
        <v>150336</v>
      </c>
      <c r="M7" s="77">
        <f>IF(H7="smartmeter_1ph",Table4[[#This Row],[total_cost_npr]],Table4[[#This Row],[total_cost_npr]]/Table4[[#This Row],[pv_kWp]])</f>
        <v>75168</v>
      </c>
      <c r="N7" s="1">
        <f>Table4[[#This Row],[system_cost_inr_per_kwp]]*Table4[[#This Row],[pv_kWp]]</f>
        <v>93960</v>
      </c>
      <c r="O7" s="1">
        <v>46980</v>
      </c>
      <c r="P7" s="1"/>
      <c r="Q7" s="1"/>
      <c r="R7" s="1"/>
      <c r="S7" s="1"/>
      <c r="T7" s="1">
        <v>2</v>
      </c>
      <c r="U7" s="1"/>
      <c r="V7" s="1"/>
      <c r="W7" s="1">
        <v>2100</v>
      </c>
      <c r="X7" s="1">
        <v>2370</v>
      </c>
      <c r="Y7" s="1"/>
      <c r="Z7" s="1"/>
      <c r="AA7" s="1"/>
      <c r="AB7" s="1"/>
      <c r="AC7" s="1"/>
      <c r="AD7" s="1"/>
      <c r="AE7" s="1"/>
      <c r="AF7" s="1"/>
      <c r="AG7" s="1"/>
      <c r="AH7" s="6"/>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row>
    <row r="8" spans="1:63" ht="16" thickBot="1" x14ac:dyDescent="0.25">
      <c r="A8" s="3">
        <v>7</v>
      </c>
      <c r="B8" s="3" t="s">
        <v>59</v>
      </c>
      <c r="C8" s="3" t="s">
        <v>543</v>
      </c>
      <c r="D8" s="1" t="s">
        <v>40</v>
      </c>
      <c r="E8" s="1"/>
      <c r="F8" s="1">
        <v>2022</v>
      </c>
      <c r="G8" s="1" t="s">
        <v>54</v>
      </c>
      <c r="H8" s="1" t="s">
        <v>55</v>
      </c>
      <c r="I8" s="1"/>
      <c r="J8" s="113">
        <f>Table4[[#This Row],[total_cost_npr]]*(1/'Calculations &amp; Assumptions'!$C$6)</f>
        <v>1690.9006928406466</v>
      </c>
      <c r="K8" s="113">
        <f>Table4[[#This Row],[system_cost_npr_per_kwp]]*(1/'Calculations &amp; Assumptions'!$C$6)</f>
        <v>563.63356428021552</v>
      </c>
      <c r="L8" s="23">
        <f>IF(Table4[[#This Row],[total_cost_inr]]&gt;0, Table4[[#This Row],[total_cost_inr]]*'Calculations &amp; Assumptions'!$C$7,IF(Table4[[#This Row],[total_cost_eur]]&gt;0,Table4[[#This Row],[total_cost_eur]]*'Calculations &amp; Assumptions'!$C$5,0))</f>
        <v>219648</v>
      </c>
      <c r="M8" s="77">
        <f>IF(H8="smartmeter_1ph",Table4[[#This Row],[total_cost_npr]],Table4[[#This Row],[total_cost_npr]]/Table4[[#This Row],[pv_kWp]])</f>
        <v>73216</v>
      </c>
      <c r="N8" s="1">
        <f>Table4[[#This Row],[system_cost_inr_per_kwp]]*Table4[[#This Row],[pv_kWp]]</f>
        <v>137280</v>
      </c>
      <c r="O8" s="1">
        <v>45760</v>
      </c>
      <c r="P8" s="1"/>
      <c r="Q8" s="1"/>
      <c r="R8" s="1"/>
      <c r="S8" s="1"/>
      <c r="T8" s="1">
        <v>3</v>
      </c>
      <c r="U8" s="1"/>
      <c r="V8" s="1"/>
      <c r="W8" s="1">
        <v>2100</v>
      </c>
      <c r="X8" s="1">
        <v>2370</v>
      </c>
      <c r="Y8" s="1"/>
      <c r="Z8" s="1"/>
      <c r="AA8" s="1"/>
      <c r="AB8" s="1"/>
      <c r="AC8" s="1"/>
      <c r="AD8" s="1"/>
      <c r="AE8" s="1"/>
      <c r="AF8" s="1"/>
      <c r="AG8" s="1"/>
      <c r="AH8" s="6"/>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row>
    <row r="9" spans="1:63" ht="16" thickBot="1" x14ac:dyDescent="0.25">
      <c r="A9" s="3">
        <v>8</v>
      </c>
      <c r="B9" s="3" t="s">
        <v>59</v>
      </c>
      <c r="C9" s="3" t="s">
        <v>543</v>
      </c>
      <c r="D9" s="1" t="s">
        <v>40</v>
      </c>
      <c r="E9" s="1"/>
      <c r="F9" s="1">
        <v>2022</v>
      </c>
      <c r="G9" s="1" t="s">
        <v>54</v>
      </c>
      <c r="H9" s="1" t="s">
        <v>55</v>
      </c>
      <c r="I9" s="1"/>
      <c r="J9" s="113">
        <f>Table4[[#This Row],[total_cost_npr]]*(1/'Calculations &amp; Assumptions'!$C$6)</f>
        <v>5128.8683602771362</v>
      </c>
      <c r="K9" s="113">
        <f>Table4[[#This Row],[system_cost_npr_per_kwp]]*(1/'Calculations &amp; Assumptions'!$C$6)</f>
        <v>512.88683602771357</v>
      </c>
      <c r="L9" s="23">
        <f>IF(Table4[[#This Row],[total_cost_inr]]&gt;0, Table4[[#This Row],[total_cost_inr]]*'Calculations &amp; Assumptions'!$C$7,IF(Table4[[#This Row],[total_cost_eur]]&gt;0,Table4[[#This Row],[total_cost_eur]]*'Calculations &amp; Assumptions'!$C$5,0))</f>
        <v>666240</v>
      </c>
      <c r="M9" s="77">
        <f>IF(H9="smartmeter_1ph",Table4[[#This Row],[total_cost_npr]],Table4[[#This Row],[total_cost_npr]]/Table4[[#This Row],[pv_kWp]])</f>
        <v>66624</v>
      </c>
      <c r="N9" s="1">
        <f>Table4[[#This Row],[system_cost_inr_per_kwp]]*Table4[[#This Row],[pv_kWp]]</f>
        <v>416400</v>
      </c>
      <c r="O9" s="1">
        <v>41640</v>
      </c>
      <c r="P9" s="1"/>
      <c r="Q9" s="1"/>
      <c r="R9" s="1"/>
      <c r="S9" s="1"/>
      <c r="T9" s="1">
        <v>10</v>
      </c>
      <c r="U9" s="1"/>
      <c r="V9" s="1"/>
      <c r="W9" s="1">
        <v>4630</v>
      </c>
      <c r="X9" s="1">
        <v>7100</v>
      </c>
      <c r="Y9" s="1"/>
      <c r="Z9" s="1"/>
      <c r="AA9" s="1"/>
      <c r="AB9" s="1"/>
      <c r="AC9" s="1"/>
      <c r="AD9" s="1"/>
      <c r="AE9" s="1"/>
      <c r="AF9" s="1"/>
      <c r="AG9" s="1"/>
      <c r="AH9" s="6"/>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row>
    <row r="10" spans="1:63" ht="16" thickBot="1" x14ac:dyDescent="0.25">
      <c r="A10" s="3">
        <v>9</v>
      </c>
      <c r="B10" s="3" t="s">
        <v>59</v>
      </c>
      <c r="C10" s="3" t="s">
        <v>543</v>
      </c>
      <c r="D10" s="1" t="s">
        <v>40</v>
      </c>
      <c r="E10" s="1"/>
      <c r="F10" s="1">
        <v>2022</v>
      </c>
      <c r="G10" s="1" t="s">
        <v>54</v>
      </c>
      <c r="H10" s="1" t="s">
        <v>55</v>
      </c>
      <c r="I10" s="1"/>
      <c r="J10" s="113">
        <f>Table4[[#This Row],[total_cost_npr]]*(1/'Calculations &amp; Assumptions'!$C$6)</f>
        <v>48135.488837567354</v>
      </c>
      <c r="K10" s="113">
        <f>Table4[[#This Row],[system_cost_npr_per_kwp]]*(1/'Calculations &amp; Assumptions'!$C$6)</f>
        <v>481.35488837567357</v>
      </c>
      <c r="L10" s="23">
        <f>IF(Table4[[#This Row],[total_cost_inr]]&gt;0, Table4[[#This Row],[total_cost_inr]]*'Calculations &amp; Assumptions'!$C$7,IF(Table4[[#This Row],[total_cost_eur]]&gt;0,Table4[[#This Row],[total_cost_eur]]*'Calculations &amp; Assumptions'!$C$5,0))</f>
        <v>6252800</v>
      </c>
      <c r="M10" s="77">
        <f>IF(H10="smartmeter_1ph",Table4[[#This Row],[total_cost_npr]],Table4[[#This Row],[total_cost_npr]]/Table4[[#This Row],[pv_kWp]])</f>
        <v>62528</v>
      </c>
      <c r="N10" s="1">
        <f>Table4[[#This Row],[system_cost_inr_per_kwp]]*Table4[[#This Row],[pv_kWp]]</f>
        <v>3908000</v>
      </c>
      <c r="O10" s="1">
        <v>39080</v>
      </c>
      <c r="P10" s="1"/>
      <c r="Q10" s="1"/>
      <c r="R10" s="1"/>
      <c r="S10" s="1"/>
      <c r="T10" s="1">
        <v>100</v>
      </c>
      <c r="U10" s="1"/>
      <c r="V10" s="1"/>
      <c r="W10" s="1"/>
      <c r="X10" s="1"/>
      <c r="Y10" s="1"/>
      <c r="Z10" s="1"/>
      <c r="AA10" s="1"/>
      <c r="AB10" s="1"/>
      <c r="AC10" s="1"/>
      <c r="AD10" s="1"/>
      <c r="AE10" s="1"/>
      <c r="AF10" s="1"/>
      <c r="AG10" s="1"/>
      <c r="AH10" s="6"/>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row>
    <row r="11" spans="1:63" ht="16" thickBot="1" x14ac:dyDescent="0.25">
      <c r="A11" s="3">
        <v>10</v>
      </c>
      <c r="B11" s="3" t="s">
        <v>59</v>
      </c>
      <c r="C11" s="3" t="s">
        <v>543</v>
      </c>
      <c r="D11" s="1" t="s">
        <v>40</v>
      </c>
      <c r="E11" s="1"/>
      <c r="F11" s="1">
        <v>2022</v>
      </c>
      <c r="G11" s="1" t="s">
        <v>54</v>
      </c>
      <c r="H11" s="1" t="s">
        <v>55</v>
      </c>
      <c r="I11" s="1"/>
      <c r="J11" s="113">
        <f>Table4[[#This Row],[total_cost_npr]]*(1/'Calculations &amp; Assumptions'!$C$6)</f>
        <v>578.90685142417237</v>
      </c>
      <c r="K11" s="113">
        <f>Table4[[#This Row],[system_cost_npr_per_kwp]]*(1/'Calculations &amp; Assumptions'!$C$6)</f>
        <v>578.90685142417237</v>
      </c>
      <c r="L11" s="23">
        <f>IF(Table4[[#This Row],[total_cost_inr]]&gt;0, Table4[[#This Row],[total_cost_inr]]*'Calculations &amp; Assumptions'!$C$7,IF(Table4[[#This Row],[total_cost_eur]]&gt;0,Table4[[#This Row],[total_cost_eur]]*'Calculations &amp; Assumptions'!$C$5,0))</f>
        <v>75200</v>
      </c>
      <c r="M11" s="77">
        <f>IF(H11="smartmeter_1ph",Table4[[#This Row],[total_cost_npr]],Table4[[#This Row],[total_cost_npr]]/Table4[[#This Row],[pv_kWp]])</f>
        <v>75200</v>
      </c>
      <c r="N11" s="1">
        <f>Table4[[#This Row],[system_cost_inr_per_kwp]]*Table4[[#This Row],[pv_kWp]]</f>
        <v>47000</v>
      </c>
      <c r="O11" s="1">
        <v>47000</v>
      </c>
      <c r="P11" s="1"/>
      <c r="Q11" s="1"/>
      <c r="R11" s="1"/>
      <c r="S11" s="1"/>
      <c r="T11" s="1">
        <v>1</v>
      </c>
      <c r="U11" s="1"/>
      <c r="V11" s="1"/>
      <c r="W11" s="1"/>
      <c r="X11" s="1"/>
      <c r="Y11" s="1"/>
      <c r="Z11" s="1"/>
      <c r="AA11" s="1"/>
      <c r="AB11" s="1"/>
      <c r="AC11" s="1"/>
      <c r="AD11" s="1"/>
      <c r="AE11" s="1"/>
      <c r="AF11" s="1"/>
      <c r="AG11" s="1"/>
      <c r="AH11" s="6"/>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row>
    <row r="12" spans="1:63" ht="16" thickBot="1" x14ac:dyDescent="0.25">
      <c r="A12" s="3">
        <v>11</v>
      </c>
      <c r="B12" s="3" t="s">
        <v>59</v>
      </c>
      <c r="C12" s="3" t="s">
        <v>543</v>
      </c>
      <c r="D12" s="1" t="s">
        <v>40</v>
      </c>
      <c r="E12" s="1"/>
      <c r="F12" s="1">
        <v>2021</v>
      </c>
      <c r="G12" s="1" t="s">
        <v>54</v>
      </c>
      <c r="H12" s="1" t="s">
        <v>55</v>
      </c>
      <c r="I12" s="1"/>
      <c r="J12" s="113">
        <f>Table4[[#This Row],[total_cost_npr]]*(1/'Calculations &amp; Assumptions'!$C$6)</f>
        <v>1059.2763664357196</v>
      </c>
      <c r="K12" s="113">
        <f>Table4[[#This Row],[system_cost_npr_per_kwp]]*(1/'Calculations &amp; Assumptions'!$C$6)</f>
        <v>529.63818321785982</v>
      </c>
      <c r="L12" s="23">
        <f>IF(Table4[[#This Row],[total_cost_inr]]&gt;0, Table4[[#This Row],[total_cost_inr]]*'Calculations &amp; Assumptions'!$C$7,IF(Table4[[#This Row],[total_cost_eur]]&gt;0,Table4[[#This Row],[total_cost_eur]]*'Calculations &amp; Assumptions'!$C$5,0))</f>
        <v>137600</v>
      </c>
      <c r="M12" s="77">
        <f>IF(H12="smartmeter_1ph",Table4[[#This Row],[total_cost_npr]],Table4[[#This Row],[total_cost_npr]]/Table4[[#This Row],[pv_kWp]])</f>
        <v>68800</v>
      </c>
      <c r="N12" s="1">
        <f>Table4[[#This Row],[system_cost_inr_per_kwp]]*Table4[[#This Row],[pv_kWp]]</f>
        <v>86000</v>
      </c>
      <c r="O12" s="1">
        <v>43000</v>
      </c>
      <c r="P12" s="1"/>
      <c r="Q12" s="1"/>
      <c r="R12" s="1"/>
      <c r="S12" s="1"/>
      <c r="T12" s="1">
        <v>2</v>
      </c>
      <c r="U12" s="1"/>
      <c r="V12" s="1"/>
      <c r="W12" s="1"/>
      <c r="X12" s="1"/>
      <c r="Y12" s="1"/>
      <c r="Z12" s="1"/>
      <c r="AA12" s="1"/>
      <c r="AB12" s="1"/>
      <c r="AC12" s="1"/>
      <c r="AD12" s="1"/>
      <c r="AE12" s="1"/>
      <c r="AF12" s="1"/>
      <c r="AG12" s="1"/>
      <c r="AH12" s="6"/>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row>
    <row r="13" spans="1:63" ht="16" thickBot="1" x14ac:dyDescent="0.25">
      <c r="A13" s="3">
        <v>12</v>
      </c>
      <c r="B13" s="3" t="s">
        <v>59</v>
      </c>
      <c r="C13" s="3" t="s">
        <v>543</v>
      </c>
      <c r="D13" s="1" t="s">
        <v>40</v>
      </c>
      <c r="E13" s="1"/>
      <c r="F13" s="1">
        <v>2021</v>
      </c>
      <c r="G13" s="1" t="s">
        <v>54</v>
      </c>
      <c r="H13" s="1" t="s">
        <v>55</v>
      </c>
      <c r="I13" s="1"/>
      <c r="J13" s="113">
        <f>Table4[[#This Row],[total_cost_npr]]*(1/'Calculations &amp; Assumptions'!$C$6)</f>
        <v>1551.9630484988452</v>
      </c>
      <c r="K13" s="113">
        <f>Table4[[#This Row],[system_cost_npr_per_kwp]]*(1/'Calculations &amp; Assumptions'!$C$6)</f>
        <v>517.32101616628165</v>
      </c>
      <c r="L13" s="23">
        <f>IF(Table4[[#This Row],[total_cost_inr]]&gt;0, Table4[[#This Row],[total_cost_inr]]*'Calculations &amp; Assumptions'!$C$7,IF(Table4[[#This Row],[total_cost_eur]]&gt;0,Table4[[#This Row],[total_cost_eur]]*'Calculations &amp; Assumptions'!$C$5,0))</f>
        <v>201600</v>
      </c>
      <c r="M13" s="77">
        <f>IF(H13="smartmeter_1ph",Table4[[#This Row],[total_cost_npr]],Table4[[#This Row],[total_cost_npr]]/Table4[[#This Row],[pv_kWp]])</f>
        <v>67200</v>
      </c>
      <c r="N13" s="1">
        <f>Table4[[#This Row],[system_cost_inr_per_kwp]]*Table4[[#This Row],[pv_kWp]]</f>
        <v>126000</v>
      </c>
      <c r="O13" s="1">
        <v>42000</v>
      </c>
      <c r="P13" s="1"/>
      <c r="Q13" s="1"/>
      <c r="R13" s="1"/>
      <c r="S13" s="1"/>
      <c r="T13" s="1">
        <v>3</v>
      </c>
      <c r="U13" s="1"/>
      <c r="V13" s="1"/>
      <c r="W13" s="1"/>
      <c r="X13" s="1"/>
      <c r="Y13" s="1"/>
      <c r="Z13" s="1"/>
      <c r="AA13" s="1"/>
      <c r="AB13" s="1"/>
      <c r="AC13" s="1"/>
      <c r="AD13" s="1"/>
      <c r="AE13" s="1"/>
      <c r="AF13" s="1"/>
      <c r="AG13" s="1"/>
      <c r="AH13" s="6"/>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row>
    <row r="14" spans="1:63" ht="16" thickBot="1" x14ac:dyDescent="0.25">
      <c r="A14" s="3">
        <v>13</v>
      </c>
      <c r="B14" s="3" t="s">
        <v>59</v>
      </c>
      <c r="C14" s="3" t="s">
        <v>543</v>
      </c>
      <c r="D14" s="1" t="s">
        <v>40</v>
      </c>
      <c r="E14" s="1"/>
      <c r="F14" s="1">
        <v>2021</v>
      </c>
      <c r="G14" s="1" t="s">
        <v>54</v>
      </c>
      <c r="H14" s="1" t="s">
        <v>55</v>
      </c>
      <c r="I14" s="1"/>
      <c r="J14" s="113">
        <f>Table4[[#This Row],[total_cost_npr]]*(1/'Calculations &amp; Assumptions'!$C$6)</f>
        <v>4680.5234795996912</v>
      </c>
      <c r="K14" s="113">
        <f>Table4[[#This Row],[system_cost_npr_per_kwp]]*(1/'Calculations &amp; Assumptions'!$C$6)</f>
        <v>468.05234795996915</v>
      </c>
      <c r="L14" s="23">
        <f>IF(Table4[[#This Row],[total_cost_inr]]&gt;0, Table4[[#This Row],[total_cost_inr]]*'Calculations &amp; Assumptions'!$C$7,IF(Table4[[#This Row],[total_cost_eur]]&gt;0,Table4[[#This Row],[total_cost_eur]]*'Calculations &amp; Assumptions'!$C$5,0))</f>
        <v>608000</v>
      </c>
      <c r="M14" s="77">
        <f>IF(H14="smartmeter_1ph",Table4[[#This Row],[total_cost_npr]],Table4[[#This Row],[total_cost_npr]]/Table4[[#This Row],[pv_kWp]])</f>
        <v>60800</v>
      </c>
      <c r="N14" s="1">
        <f>Table4[[#This Row],[system_cost_inr_per_kwp]]*Table4[[#This Row],[pv_kWp]]</f>
        <v>380000</v>
      </c>
      <c r="O14" s="1">
        <v>38000</v>
      </c>
      <c r="P14" s="1"/>
      <c r="Q14" s="1"/>
      <c r="R14" s="1"/>
      <c r="S14" s="1"/>
      <c r="T14" s="1">
        <v>10</v>
      </c>
      <c r="U14" s="1"/>
      <c r="V14" s="1"/>
      <c r="W14" s="1"/>
      <c r="X14" s="1"/>
      <c r="Y14" s="1"/>
      <c r="Z14" s="1"/>
      <c r="AA14" s="1"/>
      <c r="AB14" s="1"/>
      <c r="AC14" s="1"/>
      <c r="AD14" s="1"/>
      <c r="AE14" s="1"/>
      <c r="AF14" s="1"/>
      <c r="AG14" s="1"/>
      <c r="AH14" s="6"/>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row>
    <row r="15" spans="1:63" ht="16" thickBot="1" x14ac:dyDescent="0.25">
      <c r="A15" s="3">
        <v>14</v>
      </c>
      <c r="B15" s="3" t="s">
        <v>59</v>
      </c>
      <c r="C15" s="3" t="s">
        <v>543</v>
      </c>
      <c r="D15" s="1" t="s">
        <v>40</v>
      </c>
      <c r="E15" s="1"/>
      <c r="F15" s="1">
        <v>2021</v>
      </c>
      <c r="G15" s="1" t="s">
        <v>54</v>
      </c>
      <c r="H15" s="1" t="s">
        <v>55</v>
      </c>
      <c r="I15" s="1"/>
      <c r="J15" s="113">
        <f>Table4[[#This Row],[total_cost_npr]]*(1/'Calculations &amp; Assumptions'!$C$6)</f>
        <v>44341.80138568129</v>
      </c>
      <c r="K15" s="113">
        <f>Table4[[#This Row],[system_cost_npr_per_kwp]]*(1/'Calculations &amp; Assumptions'!$C$6)</f>
        <v>443.41801385681288</v>
      </c>
      <c r="L15" s="23">
        <f>IF(Table4[[#This Row],[total_cost_inr]]&gt;0, Table4[[#This Row],[total_cost_inr]]*'Calculations &amp; Assumptions'!$C$7,IF(Table4[[#This Row],[total_cost_eur]]&gt;0,Table4[[#This Row],[total_cost_eur]]*'Calculations &amp; Assumptions'!$C$5,0))</f>
        <v>5760000</v>
      </c>
      <c r="M15" s="77">
        <f>IF(H15="smartmeter_1ph",Table4[[#This Row],[total_cost_npr]],Table4[[#This Row],[total_cost_npr]]/Table4[[#This Row],[pv_kWp]])</f>
        <v>57600</v>
      </c>
      <c r="N15" s="1">
        <f>Table4[[#This Row],[system_cost_inr_per_kwp]]*Table4[[#This Row],[pv_kWp]]</f>
        <v>3600000</v>
      </c>
      <c r="O15" s="1">
        <v>36000</v>
      </c>
      <c r="P15" s="1"/>
      <c r="Q15" s="1"/>
      <c r="R15" s="1"/>
      <c r="S15" s="1"/>
      <c r="T15" s="1">
        <v>100</v>
      </c>
      <c r="U15" s="1"/>
      <c r="V15" s="1"/>
      <c r="W15" s="1"/>
      <c r="X15" s="1"/>
      <c r="Y15" s="1"/>
      <c r="Z15" s="1"/>
      <c r="AA15" s="1"/>
      <c r="AB15" s="1"/>
      <c r="AC15" s="1"/>
      <c r="AD15" s="1"/>
      <c r="AE15" s="1"/>
      <c r="AF15" s="1"/>
      <c r="AG15" s="1"/>
      <c r="AH15" s="6"/>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row>
    <row r="16" spans="1:63" ht="16" thickBot="1" x14ac:dyDescent="0.25">
      <c r="A16" s="3">
        <v>15</v>
      </c>
      <c r="B16" s="25" t="s">
        <v>157</v>
      </c>
      <c r="C16" s="3" t="s">
        <v>543</v>
      </c>
      <c r="D16" s="1" t="s">
        <v>155</v>
      </c>
      <c r="E16" s="1"/>
      <c r="F16" s="1">
        <v>2022</v>
      </c>
      <c r="G16" s="1" t="s">
        <v>54</v>
      </c>
      <c r="H16" s="1" t="s">
        <v>55</v>
      </c>
      <c r="I16" s="27" t="s">
        <v>158</v>
      </c>
      <c r="J16" s="113">
        <f>Table4[[#This Row],[total_cost_npr]]*(1/'Calculations &amp; Assumptions'!$C$6)</f>
        <v>18013.856812933023</v>
      </c>
      <c r="K16" s="113">
        <f>Table4[[#This Row],[system_cost_npr_per_kwp]]*(1/'Calculations &amp; Assumptions'!$C$6)</f>
        <v>600.46189376443408</v>
      </c>
      <c r="L16" s="23">
        <f>IF(Table4[[#This Row],[total_cost_inr]]&gt;0, Table4[[#This Row],[total_cost_inr]]*'Calculations &amp; Assumptions'!$C$7,IF(Table4[[#This Row],[total_cost_eur]]&gt;0,Table4[[#This Row],[total_cost_eur]]*'Calculations &amp; Assumptions'!$C$5,0))</f>
        <v>2340000</v>
      </c>
      <c r="M16" s="77">
        <f>IF(H16="smartmeter_1ph",Table4[[#This Row],[total_cost_npr]],Table4[[#This Row],[total_cost_npr]]/Table4[[#This Row],[pv_kWp]])</f>
        <v>78000</v>
      </c>
      <c r="N16" s="1"/>
      <c r="O16" s="1"/>
      <c r="P16" s="1">
        <f>Table4[[#This Row],[system_cost_eur_per_kw]]*Table4[[#This Row],[pv_kWp]]</f>
        <v>18000</v>
      </c>
      <c r="Q16" s="1">
        <v>600</v>
      </c>
      <c r="R16" s="1"/>
      <c r="S16" s="1"/>
      <c r="T16" s="1">
        <v>30</v>
      </c>
      <c r="U16" s="1"/>
      <c r="V16" s="1"/>
      <c r="W16" s="1"/>
      <c r="X16" s="1"/>
      <c r="Y16" s="1"/>
      <c r="Z16" s="1"/>
      <c r="AA16" s="1"/>
      <c r="AB16" s="1"/>
      <c r="AC16" s="1"/>
      <c r="AD16" s="1"/>
      <c r="AE16" s="1"/>
      <c r="AF16" s="1"/>
      <c r="AG16" s="1"/>
      <c r="AH16" s="6"/>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row>
    <row r="17" spans="1:63" ht="30" thickBot="1" x14ac:dyDescent="0.25">
      <c r="A17" s="3">
        <v>16</v>
      </c>
      <c r="B17" s="3" t="s">
        <v>427</v>
      </c>
      <c r="C17" s="3" t="s">
        <v>543</v>
      </c>
      <c r="D17" s="1" t="s">
        <v>155</v>
      </c>
      <c r="E17" s="1"/>
      <c r="F17" s="1">
        <v>2022</v>
      </c>
      <c r="G17" s="1" t="s">
        <v>54</v>
      </c>
      <c r="H17" s="1" t="s">
        <v>55</v>
      </c>
      <c r="I17" s="1"/>
      <c r="J17" s="113">
        <f>Table4[[#This Row],[total_cost_npr]]*(1/'Calculations &amp; Assumptions'!$C$6)</f>
        <v>25319.476520400305</v>
      </c>
      <c r="K17" s="113">
        <f>Table4[[#This Row],[system_cost_npr_per_kwp]]*(1/'Calculations &amp; Assumptions'!$C$6)</f>
        <v>460.35411855273281</v>
      </c>
      <c r="L17" s="23">
        <f>IF(Table4[[#This Row],[total_cost_inr]]&gt;0, Table4[[#This Row],[total_cost_inr]]*'Calculations &amp; Assumptions'!$C$7,IF(Table4[[#This Row],[total_cost_eur]]&gt;0,Table4[[#This Row],[total_cost_eur]]*'Calculations &amp; Assumptions'!$C$5,0))</f>
        <v>3289000</v>
      </c>
      <c r="M17" s="77">
        <f>IF(H17="smartmeter_1ph",Table4[[#This Row],[total_cost_npr]],Table4[[#This Row],[total_cost_npr]]/Table4[[#This Row],[pv_kWp]])</f>
        <v>59800</v>
      </c>
      <c r="N17" s="1"/>
      <c r="O17" s="1"/>
      <c r="P17" s="1">
        <v>25300</v>
      </c>
      <c r="Q17" s="1">
        <f>Table4[[#This Row],[total_cost_eur]]/Table4[[#This Row],[pv_kWp]]</f>
        <v>460</v>
      </c>
      <c r="R17" s="1"/>
      <c r="S17" s="1"/>
      <c r="T17" s="1">
        <v>55</v>
      </c>
      <c r="U17" s="1"/>
      <c r="V17" s="1"/>
      <c r="W17" s="1"/>
      <c r="X17" s="1"/>
      <c r="Y17" s="1"/>
      <c r="Z17" s="1"/>
      <c r="AA17" s="1"/>
      <c r="AB17" s="1"/>
      <c r="AC17" s="1"/>
      <c r="AD17" s="1"/>
      <c r="AE17" s="1"/>
      <c r="AF17" s="1"/>
      <c r="AG17" s="1"/>
      <c r="AH17" s="6"/>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row>
    <row r="18" spans="1:63" ht="30" thickBot="1" x14ac:dyDescent="0.25">
      <c r="A18" s="3">
        <v>17</v>
      </c>
      <c r="B18" s="3" t="s">
        <v>427</v>
      </c>
      <c r="C18" s="3" t="s">
        <v>543</v>
      </c>
      <c r="D18" s="1" t="s">
        <v>155</v>
      </c>
      <c r="E18" s="1"/>
      <c r="F18" s="1">
        <v>2022</v>
      </c>
      <c r="G18" s="1" t="s">
        <v>54</v>
      </c>
      <c r="H18" s="1" t="s">
        <v>55</v>
      </c>
      <c r="I18" s="1"/>
      <c r="J18" s="113">
        <f>Table4[[#This Row],[total_cost_npr]]*(1/'Calculations &amp; Assumptions'!$C$6)</f>
        <v>46435.719784449575</v>
      </c>
      <c r="K18" s="113">
        <f>Table4[[#This Row],[system_cost_npr_per_kwp]]*(1/'Calculations &amp; Assumptions'!$C$6)</f>
        <v>422.14290713135978</v>
      </c>
      <c r="L18" s="23">
        <f>IF(Table4[[#This Row],[total_cost_inr]]&gt;0, Table4[[#This Row],[total_cost_inr]]*'Calculations &amp; Assumptions'!$C$7,IF(Table4[[#This Row],[total_cost_eur]]&gt;0,Table4[[#This Row],[total_cost_eur]]*'Calculations &amp; Assumptions'!$C$5,0))</f>
        <v>6032000</v>
      </c>
      <c r="M18" s="77">
        <f>IF(H18="smartmeter_1ph",Table4[[#This Row],[total_cost_npr]],Table4[[#This Row],[total_cost_npr]]/Table4[[#This Row],[pv_kWp]])</f>
        <v>54836.36363636364</v>
      </c>
      <c r="N18" s="1"/>
      <c r="O18" s="1"/>
      <c r="P18" s="1">
        <v>46400</v>
      </c>
      <c r="Q18" s="1">
        <f>Table4[[#This Row],[total_cost_eur]]/Table4[[#This Row],[pv_kWp]]</f>
        <v>421.81818181818181</v>
      </c>
      <c r="R18" s="1"/>
      <c r="S18" s="1"/>
      <c r="T18" s="1">
        <v>110</v>
      </c>
      <c r="U18" s="1"/>
      <c r="V18" s="1"/>
      <c r="W18" s="1"/>
      <c r="X18" s="1"/>
      <c r="Y18" s="1"/>
      <c r="Z18" s="1"/>
      <c r="AA18" s="1"/>
      <c r="AB18" s="1"/>
      <c r="AC18" s="1"/>
      <c r="AD18" s="1"/>
      <c r="AE18" s="1"/>
      <c r="AF18" s="1"/>
      <c r="AG18" s="1"/>
      <c r="AH18" s="6"/>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row>
    <row r="19" spans="1:63" ht="30" thickBot="1" x14ac:dyDescent="0.25">
      <c r="A19" s="3">
        <v>18</v>
      </c>
      <c r="B19" s="3" t="s">
        <v>427</v>
      </c>
      <c r="C19" s="3" t="s">
        <v>543</v>
      </c>
      <c r="D19" s="1" t="s">
        <v>155</v>
      </c>
      <c r="E19" s="1"/>
      <c r="F19" s="1">
        <v>2022</v>
      </c>
      <c r="G19" s="1" t="s">
        <v>54</v>
      </c>
      <c r="H19" s="1" t="s">
        <v>55</v>
      </c>
      <c r="I19" s="1"/>
      <c r="J19" s="113">
        <f>Table4[[#This Row],[total_cost_npr]]*(1/'Calculations &amp; Assumptions'!$C$6)</f>
        <v>91870.669745958425</v>
      </c>
      <c r="K19" s="113">
        <f>Table4[[#This Row],[system_cost_npr_per_kwp]]*(1/'Calculations &amp; Assumptions'!$C$6)</f>
        <v>417.59395339072006</v>
      </c>
      <c r="L19" s="23">
        <f>IF(Table4[[#This Row],[total_cost_inr]]&gt;0, Table4[[#This Row],[total_cost_inr]]*'Calculations &amp; Assumptions'!$C$7,IF(Table4[[#This Row],[total_cost_eur]]&gt;0,Table4[[#This Row],[total_cost_eur]]*'Calculations &amp; Assumptions'!$C$5,0))</f>
        <v>11934000</v>
      </c>
      <c r="M19" s="77">
        <f>IF(H19="smartmeter_1ph",Table4[[#This Row],[total_cost_npr]],Table4[[#This Row],[total_cost_npr]]/Table4[[#This Row],[pv_kWp]])</f>
        <v>54245.454545454544</v>
      </c>
      <c r="N19" s="1"/>
      <c r="O19" s="1"/>
      <c r="P19" s="1">
        <v>91800</v>
      </c>
      <c r="Q19" s="1">
        <f>Table4[[#This Row],[total_cost_eur]]/Table4[[#This Row],[pv_kWp]]</f>
        <v>417.27272727272725</v>
      </c>
      <c r="R19" s="1"/>
      <c r="S19" s="1"/>
      <c r="T19" s="1">
        <v>220</v>
      </c>
      <c r="U19" s="1"/>
      <c r="V19" s="1"/>
      <c r="W19" s="1"/>
      <c r="X19" s="1"/>
      <c r="Y19" s="1"/>
      <c r="Z19" s="1"/>
      <c r="AA19" s="1"/>
      <c r="AB19" s="1"/>
      <c r="AC19" s="1"/>
      <c r="AD19" s="1"/>
      <c r="AE19" s="1"/>
      <c r="AF19" s="1"/>
      <c r="AG19" s="1"/>
      <c r="AH19" s="6"/>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row>
    <row r="20" spans="1:63" ht="16" thickBot="1" x14ac:dyDescent="0.25">
      <c r="A20" s="3">
        <v>19</v>
      </c>
      <c r="B20" s="3" t="s">
        <v>82</v>
      </c>
      <c r="C20" s="3" t="s">
        <v>543</v>
      </c>
      <c r="D20" s="1" t="s">
        <v>83</v>
      </c>
      <c r="E20" s="1"/>
      <c r="F20" s="1">
        <v>2022</v>
      </c>
      <c r="G20" s="1" t="s">
        <v>51</v>
      </c>
      <c r="H20" s="1" t="s">
        <v>52</v>
      </c>
      <c r="I20" s="1" t="s">
        <v>84</v>
      </c>
      <c r="J20" s="113">
        <f>Table4[[#This Row],[total_cost_npr]]*(1/'Calculations &amp; Assumptions'!$C$6)</f>
        <v>320.24634334103155</v>
      </c>
      <c r="K20" s="113">
        <f>Table4[[#This Row],[system_cost_npr_per_kwp]]*(1/'Calculations &amp; Assumptions'!$C$6)</f>
        <v>320.24634334103155</v>
      </c>
      <c r="L20" s="23">
        <f>IF(Table4[[#This Row],[total_cost_inr]]&gt;0, Table4[[#This Row],[total_cost_inr]]*'Calculations &amp; Assumptions'!$C$7,IF(Table4[[#This Row],[total_cost_eur]]&gt;0,Table4[[#This Row],[total_cost_eur]]*'Calculations &amp; Assumptions'!$C$5,0))</f>
        <v>41600</v>
      </c>
      <c r="M20" s="77">
        <f>IF(H20="smartmeter_1ph",Table4[[#This Row],[total_cost_npr]],Table4[[#This Row],[total_cost_npr]]/Table4[[#This Row],[pv_kWp]])</f>
        <v>41600</v>
      </c>
      <c r="N20" s="1"/>
      <c r="O20" s="1"/>
      <c r="P20" s="1">
        <v>320</v>
      </c>
      <c r="Q20" s="1"/>
      <c r="R20" s="1"/>
      <c r="S20" s="1"/>
      <c r="T20" s="1"/>
      <c r="U20" s="1"/>
      <c r="V20" s="1"/>
      <c r="W20" s="1"/>
      <c r="X20" s="1"/>
      <c r="Y20" s="1"/>
      <c r="Z20" s="1"/>
      <c r="AA20" s="1"/>
      <c r="AB20" s="1"/>
      <c r="AC20" s="1"/>
      <c r="AD20" s="1"/>
      <c r="AE20" s="1"/>
      <c r="AF20" s="1"/>
      <c r="AG20" s="1">
        <f>(415*5)/1000</f>
        <v>2.0750000000000002</v>
      </c>
      <c r="AH20" s="6"/>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row>
    <row r="21" spans="1:63" ht="16" thickBot="1" x14ac:dyDescent="0.25">
      <c r="A21" s="3">
        <v>20</v>
      </c>
      <c r="B21" s="3" t="s">
        <v>85</v>
      </c>
      <c r="C21" s="3" t="s">
        <v>543</v>
      </c>
      <c r="D21" s="1" t="s">
        <v>83</v>
      </c>
      <c r="E21" s="1"/>
      <c r="F21" s="1">
        <v>2022</v>
      </c>
      <c r="G21" s="1" t="s">
        <v>51</v>
      </c>
      <c r="H21" s="1" t="s">
        <v>52</v>
      </c>
      <c r="I21" s="1" t="s">
        <v>86</v>
      </c>
      <c r="J21" s="113">
        <f>Table4[[#This Row],[total_cost_npr]]*(1/'Calculations &amp; Assumptions'!$C$6)</f>
        <v>660.50808314087749</v>
      </c>
      <c r="K21" s="113">
        <f>Table4[[#This Row],[system_cost_npr_per_kwp]]*(1/'Calculations &amp; Assumptions'!$C$6)</f>
        <v>660.50808314087749</v>
      </c>
      <c r="L21" s="23">
        <f>IF(Table4[[#This Row],[total_cost_inr]]&gt;0, Table4[[#This Row],[total_cost_inr]]*'Calculations &amp; Assumptions'!$C$7,IF(Table4[[#This Row],[total_cost_eur]]&gt;0,Table4[[#This Row],[total_cost_eur]]*'Calculations &amp; Assumptions'!$C$5,0))</f>
        <v>85800</v>
      </c>
      <c r="M21" s="77">
        <f>IF(H21="smartmeter_1ph",Table4[[#This Row],[total_cost_npr]],Table4[[#This Row],[total_cost_npr]]/Table4[[#This Row],[pv_kWp]])</f>
        <v>85800</v>
      </c>
      <c r="N21" s="1"/>
      <c r="O21" s="1"/>
      <c r="P21" s="1">
        <v>660</v>
      </c>
      <c r="Q21" s="1"/>
      <c r="R21" s="1"/>
      <c r="S21" s="1"/>
      <c r="T21" s="1"/>
      <c r="U21" s="1"/>
      <c r="V21" s="1"/>
      <c r="W21" s="1"/>
      <c r="X21" s="1"/>
      <c r="Y21" s="1"/>
      <c r="Z21" s="1"/>
      <c r="AA21" s="1"/>
      <c r="AB21" s="1"/>
      <c r="AC21" s="1"/>
      <c r="AD21" s="1"/>
      <c r="AE21" s="1"/>
      <c r="AF21" s="1"/>
      <c r="AG21" s="1">
        <f>(230*100)/1000</f>
        <v>23</v>
      </c>
      <c r="AH21" s="6"/>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row>
    <row r="22" spans="1:63" ht="16" thickBot="1" x14ac:dyDescent="0.25">
      <c r="A22" s="3">
        <v>21</v>
      </c>
      <c r="B22" s="3" t="s">
        <v>85</v>
      </c>
      <c r="C22" s="3" t="s">
        <v>543</v>
      </c>
      <c r="D22" s="1" t="s">
        <v>83</v>
      </c>
      <c r="E22" s="1"/>
      <c r="F22" s="1">
        <v>2022</v>
      </c>
      <c r="G22" s="1" t="s">
        <v>51</v>
      </c>
      <c r="H22" s="1" t="s">
        <v>81</v>
      </c>
      <c r="I22" s="1" t="s">
        <v>86</v>
      </c>
      <c r="J22" s="113">
        <f>Table4[[#This Row],[total_cost_npr]]*(1/'Calculations &amp; Assumptions'!$C$6)</f>
        <v>2401.8475750577363</v>
      </c>
      <c r="K22" s="113">
        <f>Table4[[#This Row],[system_cost_npr_per_kwp]]*(1/'Calculations &amp; Assumptions'!$C$6)</f>
        <v>348.09385145764298</v>
      </c>
      <c r="L22" s="23">
        <f>IF(Table4[[#This Row],[total_cost_inr]]&gt;0, Table4[[#This Row],[total_cost_inr]]*'Calculations &amp; Assumptions'!$C$7,IF(Table4[[#This Row],[total_cost_eur]]&gt;0,Table4[[#This Row],[total_cost_eur]]*'Calculations &amp; Assumptions'!$C$5,0))</f>
        <v>312000</v>
      </c>
      <c r="M22" s="77">
        <f>IF(H22="smartmeter_1ph",Table4[[#This Row],[total_cost_npr]],Table4[[#This Row],[total_cost_npr]]/Table4[[#This Row],[pv_kWp]])</f>
        <v>45217.391304347824</v>
      </c>
      <c r="N22" s="1"/>
      <c r="O22" s="1">
        <f>Table4[[#This Row],[total_cost_inr]]/Table4[[#This Row],[pv_kWp]]</f>
        <v>0</v>
      </c>
      <c r="P22" s="1">
        <v>2400</v>
      </c>
      <c r="Q22" s="1">
        <f>Table4[[#This Row],[total_cost_eur]]/Table4[[#This Row],[pv_kWp]]</f>
        <v>347.82608695652175</v>
      </c>
      <c r="R22" s="1"/>
      <c r="S22" s="1"/>
      <c r="T22" s="1">
        <v>6.9</v>
      </c>
      <c r="U22" s="1"/>
      <c r="V22" s="1"/>
      <c r="W22" s="1"/>
      <c r="X22" s="1"/>
      <c r="Y22" s="1"/>
      <c r="Z22" s="1"/>
      <c r="AA22" s="1"/>
      <c r="AB22" s="1"/>
      <c r="AC22" s="1"/>
      <c r="AD22" s="1"/>
      <c r="AE22" s="1"/>
      <c r="AF22" s="1"/>
      <c r="AG22" s="1"/>
      <c r="AH22" s="6"/>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row>
    <row r="23" spans="1:63" ht="16" thickBot="1" x14ac:dyDescent="0.25">
      <c r="A23" s="3">
        <v>22</v>
      </c>
      <c r="B23" s="3" t="s">
        <v>85</v>
      </c>
      <c r="C23" s="3" t="s">
        <v>543</v>
      </c>
      <c r="D23" s="1" t="s">
        <v>83</v>
      </c>
      <c r="E23" s="1"/>
      <c r="F23" s="1">
        <v>2022</v>
      </c>
      <c r="G23" s="1" t="s">
        <v>51</v>
      </c>
      <c r="H23" s="1" t="s">
        <v>81</v>
      </c>
      <c r="I23" s="1" t="s">
        <v>86</v>
      </c>
      <c r="J23" s="113">
        <f>Table4[[#This Row],[total_cost_npr]]*(1/'Calculations &amp; Assumptions'!$C$6)</f>
        <v>4293.3025404157042</v>
      </c>
      <c r="K23" s="113">
        <f>Table4[[#This Row],[system_cost_npr_per_kwp]]*(1/'Calculations &amp; Assumptions'!$C$6)</f>
        <v>286.22016936104694</v>
      </c>
      <c r="L23" s="23">
        <f>IF(Table4[[#This Row],[total_cost_inr]]&gt;0, Table4[[#This Row],[total_cost_inr]]*'Calculations &amp; Assumptions'!$C$7,IF(Table4[[#This Row],[total_cost_eur]]&gt;0,Table4[[#This Row],[total_cost_eur]]*'Calculations &amp; Assumptions'!$C$5,0))</f>
        <v>557700</v>
      </c>
      <c r="M23" s="77">
        <f>IF(H23="smartmeter_1ph",Table4[[#This Row],[total_cost_npr]],Table4[[#This Row],[total_cost_npr]]/Table4[[#This Row],[pv_kWp]])</f>
        <v>37180</v>
      </c>
      <c r="N23" s="1"/>
      <c r="O23" s="1">
        <f>Table4[[#This Row],[total_cost_inr]]/Table4[[#This Row],[pv_kWp]]</f>
        <v>0</v>
      </c>
      <c r="P23" s="1">
        <v>4290</v>
      </c>
      <c r="Q23" s="1">
        <f>Table4[[#This Row],[total_cost_eur]]/Table4[[#This Row],[pv_kWp]]</f>
        <v>286</v>
      </c>
      <c r="R23" s="1"/>
      <c r="S23" s="1"/>
      <c r="T23" s="1">
        <v>15</v>
      </c>
      <c r="U23" s="1"/>
      <c r="V23" s="1"/>
      <c r="W23" s="1"/>
      <c r="X23" s="1"/>
      <c r="Y23" s="1"/>
      <c r="Z23" s="1"/>
      <c r="AA23" s="1"/>
      <c r="AB23" s="1"/>
      <c r="AC23" s="1"/>
      <c r="AD23" s="1"/>
      <c r="AE23" s="1"/>
      <c r="AF23" s="1"/>
      <c r="AG23" s="1"/>
      <c r="AH23" s="6"/>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row>
    <row r="24" spans="1:63" ht="16" thickBot="1" x14ac:dyDescent="0.25">
      <c r="A24" s="3">
        <v>23</v>
      </c>
      <c r="B24" s="3" t="s">
        <v>85</v>
      </c>
      <c r="C24" s="3" t="s">
        <v>543</v>
      </c>
      <c r="D24" s="1" t="s">
        <v>83</v>
      </c>
      <c r="E24" s="1"/>
      <c r="F24" s="1">
        <v>2022</v>
      </c>
      <c r="G24" s="1" t="s">
        <v>51</v>
      </c>
      <c r="H24" s="1" t="s">
        <v>81</v>
      </c>
      <c r="I24" s="1" t="s">
        <v>86</v>
      </c>
      <c r="J24" s="113">
        <f>Table4[[#This Row],[total_cost_npr]]*(1/'Calculations &amp; Assumptions'!$C$6)</f>
        <v>1321.016166281755</v>
      </c>
      <c r="K24" s="113">
        <f>Table4[[#This Row],[system_cost_npr_per_kwp]]*(1/'Calculations &amp; Assumptions'!$C$6)</f>
        <v>330.25404157043874</v>
      </c>
      <c r="L24" s="23">
        <f>IF(Table4[[#This Row],[total_cost_inr]]&gt;0, Table4[[#This Row],[total_cost_inr]]*'Calculations &amp; Assumptions'!$C$7,IF(Table4[[#This Row],[total_cost_eur]]&gt;0,Table4[[#This Row],[total_cost_eur]]*'Calculations &amp; Assumptions'!$C$5,0))</f>
        <v>171600</v>
      </c>
      <c r="M24" s="77">
        <f>IF(H24="smartmeter_1ph",Table4[[#This Row],[total_cost_npr]],Table4[[#This Row],[total_cost_npr]]/Table4[[#This Row],[pv_kWp]])</f>
        <v>42900</v>
      </c>
      <c r="N24" s="1"/>
      <c r="O24" s="1">
        <f>Table4[[#This Row],[total_cost_inr]]/Table4[[#This Row],[pv_kWp]]</f>
        <v>0</v>
      </c>
      <c r="P24" s="1">
        <v>1320</v>
      </c>
      <c r="Q24" s="1">
        <f>Table4[[#This Row],[total_cost_eur]]/Table4[[#This Row],[pv_kWp]]</f>
        <v>330</v>
      </c>
      <c r="R24" s="1"/>
      <c r="S24" s="1"/>
      <c r="T24" s="1">
        <v>4</v>
      </c>
      <c r="U24" s="1"/>
      <c r="V24" s="1"/>
      <c r="W24" s="1"/>
      <c r="X24" s="1"/>
      <c r="Y24" s="1"/>
      <c r="Z24" s="1"/>
      <c r="AA24" s="1"/>
      <c r="AB24" s="1"/>
      <c r="AC24" s="1"/>
      <c r="AD24" s="1"/>
      <c r="AE24" s="1"/>
      <c r="AF24" s="1"/>
      <c r="AG24" s="1"/>
      <c r="AH24" s="6"/>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row>
    <row r="25" spans="1:63" ht="16" thickBot="1" x14ac:dyDescent="0.25">
      <c r="A25" s="3">
        <v>24</v>
      </c>
      <c r="B25" s="3" t="s">
        <v>85</v>
      </c>
      <c r="C25" s="3" t="s">
        <v>543</v>
      </c>
      <c r="D25" s="1" t="s">
        <v>83</v>
      </c>
      <c r="E25" s="1"/>
      <c r="F25" s="1">
        <v>2022</v>
      </c>
      <c r="G25" s="1" t="s">
        <v>51</v>
      </c>
      <c r="H25" s="1" t="s">
        <v>81</v>
      </c>
      <c r="I25" s="1" t="s">
        <v>87</v>
      </c>
      <c r="J25" s="113">
        <f>Table4[[#This Row],[total_cost_npr]]*(1/'Calculations &amp; Assumptions'!$C$6)</f>
        <v>5274.0569668976132</v>
      </c>
      <c r="K25" s="113">
        <f>Table4[[#This Row],[system_cost_npr_per_kwp]]*(1/'Calculations &amp; Assumptions'!$C$6)</f>
        <v>146.50158241382258</v>
      </c>
      <c r="L25" s="23">
        <f>IF(Table4[[#This Row],[total_cost_inr]]&gt;0, Table4[[#This Row],[total_cost_inr]]*'Calculations &amp; Assumptions'!$C$7,IF(Table4[[#This Row],[total_cost_eur]]&gt;0,Table4[[#This Row],[total_cost_eur]]*'Calculations &amp; Assumptions'!$C$5,0))</f>
        <v>685100</v>
      </c>
      <c r="M25" s="77">
        <f>IF(H25="smartmeter_1ph",Table4[[#This Row],[total_cost_npr]],Table4[[#This Row],[total_cost_npr]]/Table4[[#This Row],[pv_kWp]])</f>
        <v>19030.555555555555</v>
      </c>
      <c r="N25" s="1"/>
      <c r="O25" s="1">
        <f>Table4[[#This Row],[total_cost_inr]]/Table4[[#This Row],[pv_kWp]]</f>
        <v>0</v>
      </c>
      <c r="P25" s="1">
        <v>5270</v>
      </c>
      <c r="Q25" s="1">
        <f>Table4[[#This Row],[total_cost_eur]]/Table4[[#This Row],[pv_kWp]]</f>
        <v>146.38888888888889</v>
      </c>
      <c r="R25" s="1"/>
      <c r="S25" s="1"/>
      <c r="T25" s="1">
        <v>36</v>
      </c>
      <c r="U25" s="1"/>
      <c r="V25" s="1"/>
      <c r="W25" s="1"/>
      <c r="X25" s="1"/>
      <c r="Y25" s="1"/>
      <c r="Z25" s="1"/>
      <c r="AA25" s="1"/>
      <c r="AB25" s="1"/>
      <c r="AC25" s="1"/>
      <c r="AD25" s="1"/>
      <c r="AE25" s="1"/>
      <c r="AF25" s="1"/>
      <c r="AG25" s="1"/>
      <c r="AH25" s="6"/>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row>
    <row r="26" spans="1:63" ht="16" thickBot="1" x14ac:dyDescent="0.25">
      <c r="A26" s="3">
        <v>25</v>
      </c>
      <c r="B26" s="3" t="s">
        <v>85</v>
      </c>
      <c r="C26" s="3" t="s">
        <v>543</v>
      </c>
      <c r="D26" s="1" t="s">
        <v>83</v>
      </c>
      <c r="E26" s="1"/>
      <c r="F26" s="1">
        <v>2022</v>
      </c>
      <c r="G26" s="1" t="s">
        <v>51</v>
      </c>
      <c r="H26" s="1" t="s">
        <v>81</v>
      </c>
      <c r="I26" s="1" t="s">
        <v>89</v>
      </c>
      <c r="J26" s="113">
        <f>Table4[[#This Row],[total_cost_npr]]*(1/'Calculations &amp; Assumptions'!$C$6)</f>
        <v>1000.7698229407235</v>
      </c>
      <c r="K26" s="113">
        <f>Table4[[#This Row],[system_cost_npr_per_kwp]]*(1/'Calculations &amp; Assumptions'!$C$6)</f>
        <v>200.1539645881447</v>
      </c>
      <c r="L26" s="23">
        <f>IF(Table4[[#This Row],[total_cost_inr]]&gt;0, Table4[[#This Row],[total_cost_inr]]*'Calculations &amp; Assumptions'!$C$7,IF(Table4[[#This Row],[total_cost_eur]]&gt;0,Table4[[#This Row],[total_cost_eur]]*'Calculations &amp; Assumptions'!$C$5,0))</f>
        <v>130000</v>
      </c>
      <c r="M26" s="77">
        <f>IF(H26="smartmeter_1ph",Table4[[#This Row],[total_cost_npr]],Table4[[#This Row],[total_cost_npr]]/Table4[[#This Row],[pv_kWp]])</f>
        <v>26000</v>
      </c>
      <c r="N26" s="1"/>
      <c r="O26" s="1">
        <f>Table4[[#This Row],[total_cost_inr]]/Table4[[#This Row],[pv_kWp]]</f>
        <v>0</v>
      </c>
      <c r="P26" s="1">
        <v>1000</v>
      </c>
      <c r="Q26" s="1">
        <f>Table4[[#This Row],[total_cost_eur]]/Table4[[#This Row],[pv_kWp]]</f>
        <v>200</v>
      </c>
      <c r="R26" s="1"/>
      <c r="S26" s="1"/>
      <c r="T26" s="1">
        <v>5</v>
      </c>
      <c r="U26" s="1"/>
      <c r="V26" s="1"/>
      <c r="W26" s="1"/>
      <c r="X26" s="1"/>
      <c r="Y26" s="1"/>
      <c r="Z26" s="1"/>
      <c r="AA26" s="1"/>
      <c r="AB26" s="1"/>
      <c r="AC26" s="1"/>
      <c r="AD26" s="1"/>
      <c r="AE26" s="1"/>
      <c r="AF26" s="1"/>
      <c r="AG26" s="1"/>
      <c r="AH26" s="6"/>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row>
    <row r="27" spans="1:63" ht="16" thickBot="1" x14ac:dyDescent="0.25">
      <c r="A27" s="3">
        <v>26</v>
      </c>
      <c r="B27" s="3" t="s">
        <v>85</v>
      </c>
      <c r="C27" s="3" t="s">
        <v>543</v>
      </c>
      <c r="D27" s="3" t="s">
        <v>83</v>
      </c>
      <c r="E27" s="3"/>
      <c r="F27" s="3">
        <v>2022</v>
      </c>
      <c r="G27" s="3" t="s">
        <v>51</v>
      </c>
      <c r="H27" s="1" t="s">
        <v>81</v>
      </c>
      <c r="I27" s="3" t="s">
        <v>89</v>
      </c>
      <c r="J27" s="113">
        <f>Table4[[#This Row],[total_cost_npr]]*(1/'Calculations &amp; Assumptions'!$C$6)</f>
        <v>1501.1547344110852</v>
      </c>
      <c r="K27" s="113">
        <f>Table4[[#This Row],[system_cost_npr_per_kwp]]*(1/'Calculations &amp; Assumptions'!$C$6)</f>
        <v>250.19245573518089</v>
      </c>
      <c r="L27" s="23">
        <f>IF(Table4[[#This Row],[total_cost_inr]]&gt;0, Table4[[#This Row],[total_cost_inr]]*'Calculations &amp; Assumptions'!$C$7,IF(Table4[[#This Row],[total_cost_eur]]&gt;0,Table4[[#This Row],[total_cost_eur]]*'Calculations &amp; Assumptions'!$C$5,0))</f>
        <v>195000</v>
      </c>
      <c r="M27" s="77">
        <f>IF(H27="smartmeter_1ph",Table4[[#This Row],[total_cost_npr]],Table4[[#This Row],[total_cost_npr]]/Table4[[#This Row],[pv_kWp]])</f>
        <v>32500</v>
      </c>
      <c r="N27" s="3"/>
      <c r="O27" s="3">
        <f>Table4[[#This Row],[total_cost_inr]]/Table4[[#This Row],[pv_kWp]]</f>
        <v>0</v>
      </c>
      <c r="P27" s="3">
        <v>1500</v>
      </c>
      <c r="Q27" s="3">
        <f>Table4[[#This Row],[total_cost_eur]]/Table4[[#This Row],[pv_kWp]]</f>
        <v>250</v>
      </c>
      <c r="R27" s="3"/>
      <c r="S27" s="3"/>
      <c r="T27" s="3">
        <v>6</v>
      </c>
      <c r="U27" s="3"/>
      <c r="V27" s="3"/>
      <c r="W27" s="3"/>
      <c r="X27" s="3"/>
      <c r="Y27" s="3"/>
      <c r="Z27" s="3"/>
      <c r="AA27" s="3"/>
      <c r="AB27" s="3"/>
      <c r="AC27" s="3"/>
      <c r="AD27" s="3"/>
      <c r="AE27" s="3"/>
      <c r="AF27" s="3"/>
      <c r="AG27" s="3"/>
      <c r="AH27" s="3"/>
      <c r="AI27" s="3"/>
      <c r="AJ27" s="3"/>
      <c r="AK27" s="3"/>
      <c r="AL27" s="3"/>
      <c r="AM27" s="3"/>
      <c r="AN27" s="3"/>
      <c r="AO27" s="3"/>
      <c r="AP27" s="3"/>
      <c r="AQ27" s="3"/>
      <c r="AR27" s="3"/>
      <c r="AS27" s="1"/>
      <c r="AT27" s="1"/>
      <c r="AU27" s="1"/>
      <c r="AV27" s="1"/>
      <c r="AW27" s="1"/>
      <c r="AX27" s="1"/>
      <c r="AY27" s="1"/>
      <c r="AZ27" s="1"/>
      <c r="BA27" s="1"/>
      <c r="BB27" s="1"/>
      <c r="BC27" s="1"/>
      <c r="BD27" s="1"/>
      <c r="BE27" s="1"/>
      <c r="BF27" s="1"/>
      <c r="BG27" s="1"/>
      <c r="BH27" s="1"/>
      <c r="BI27" s="1"/>
      <c r="BJ27" s="1"/>
      <c r="BK27" s="1"/>
    </row>
    <row r="28" spans="1:63" ht="16" thickBot="1" x14ac:dyDescent="0.25">
      <c r="A28" s="3">
        <v>27</v>
      </c>
      <c r="B28" s="3" t="s">
        <v>85</v>
      </c>
      <c r="C28" s="3" t="s">
        <v>543</v>
      </c>
      <c r="D28" s="3" t="s">
        <v>83</v>
      </c>
      <c r="E28" s="3"/>
      <c r="F28" s="3">
        <v>2022</v>
      </c>
      <c r="G28" s="3" t="s">
        <v>51</v>
      </c>
      <c r="H28" s="1" t="s">
        <v>81</v>
      </c>
      <c r="I28" s="3" t="s">
        <v>89</v>
      </c>
      <c r="J28" s="113">
        <f>Table4[[#This Row],[total_cost_npr]]*(1/'Calculations &amp; Assumptions'!$C$6)</f>
        <v>2471.9014626635872</v>
      </c>
      <c r="K28" s="113">
        <f>Table4[[#This Row],[system_cost_npr_per_kwp]]*(1/'Calculations &amp; Assumptions'!$C$6)</f>
        <v>123.59507313317935</v>
      </c>
      <c r="L28" s="23">
        <f>IF(Table4[[#This Row],[total_cost_inr]]&gt;0, Table4[[#This Row],[total_cost_inr]]*'Calculations &amp; Assumptions'!$C$7,IF(Table4[[#This Row],[total_cost_eur]]&gt;0,Table4[[#This Row],[total_cost_eur]]*'Calculations &amp; Assumptions'!$C$5,0))</f>
        <v>321100</v>
      </c>
      <c r="M28" s="77">
        <f>IF(H28="smartmeter_1ph",Table4[[#This Row],[total_cost_npr]],Table4[[#This Row],[total_cost_npr]]/Table4[[#This Row],[pv_kWp]])</f>
        <v>16055</v>
      </c>
      <c r="N28" s="3"/>
      <c r="O28" s="3">
        <f>Table4[[#This Row],[total_cost_inr]]/Table4[[#This Row],[pv_kWp]]</f>
        <v>0</v>
      </c>
      <c r="P28" s="3">
        <v>2470</v>
      </c>
      <c r="Q28" s="3">
        <f>Table4[[#This Row],[total_cost_eur]]/Table4[[#This Row],[pv_kWp]]</f>
        <v>123.5</v>
      </c>
      <c r="R28" s="3"/>
      <c r="S28" s="3"/>
      <c r="T28" s="3">
        <v>20</v>
      </c>
      <c r="U28" s="3"/>
      <c r="V28" s="3"/>
      <c r="W28" s="3"/>
      <c r="X28" s="3"/>
      <c r="Y28" s="3"/>
      <c r="Z28" s="3"/>
      <c r="AA28" s="3"/>
      <c r="AB28" s="3"/>
      <c r="AC28" s="3"/>
      <c r="AD28" s="3"/>
      <c r="AE28" s="3"/>
      <c r="AF28" s="3"/>
      <c r="AG28" s="3"/>
      <c r="AH28" s="3"/>
      <c r="AI28" s="3"/>
      <c r="AJ28" s="3"/>
      <c r="AK28" s="3"/>
      <c r="AL28" s="3"/>
      <c r="AM28" s="3"/>
      <c r="AN28" s="3"/>
      <c r="AO28" s="3"/>
      <c r="AP28" s="3"/>
      <c r="AQ28" s="3"/>
      <c r="AR28" s="3"/>
      <c r="AS28" s="1"/>
      <c r="AT28" s="1"/>
      <c r="AU28" s="1"/>
      <c r="AV28" s="1"/>
      <c r="AW28" s="1"/>
      <c r="AX28" s="1"/>
      <c r="AY28" s="1"/>
      <c r="AZ28" s="1"/>
      <c r="BA28" s="1"/>
      <c r="BB28" s="1"/>
      <c r="BC28" s="1"/>
      <c r="BD28" s="1"/>
      <c r="BE28" s="1"/>
      <c r="BF28" s="1"/>
      <c r="BG28" s="1"/>
      <c r="BH28" s="1"/>
      <c r="BI28" s="1"/>
      <c r="BJ28" s="1"/>
      <c r="BK28" s="1"/>
    </row>
    <row r="29" spans="1:63" ht="16" thickBot="1" x14ac:dyDescent="0.25">
      <c r="A29" s="3">
        <v>28</v>
      </c>
      <c r="B29" s="3" t="s">
        <v>90</v>
      </c>
      <c r="C29" s="3" t="s">
        <v>543</v>
      </c>
      <c r="D29" s="3" t="s">
        <v>83</v>
      </c>
      <c r="E29" s="3"/>
      <c r="F29" s="3">
        <v>2022</v>
      </c>
      <c r="G29" s="3" t="s">
        <v>51</v>
      </c>
      <c r="H29" s="1" t="s">
        <v>91</v>
      </c>
      <c r="I29" s="3" t="s">
        <v>87</v>
      </c>
      <c r="J29" s="113">
        <f>Table4[[#This Row],[total_cost_npr]]*(1/'Calculations &amp; Assumptions'!$C$6)</f>
        <v>4134.1801385681292</v>
      </c>
      <c r="K29" s="113">
        <f>Table4[[#This Row],[system_cost_npr_per_kwp]]*(1/'Calculations &amp; Assumptions'!$C$6)</f>
        <v>826.83602771362575</v>
      </c>
      <c r="L29" s="23">
        <f>IF(Table4[[#This Row],[total_cost_inr]]&gt;0, Table4[[#This Row],[total_cost_inr]]*'Calculations &amp; Assumptions'!$C$7,IF(Table4[[#This Row],[total_cost_eur]]&gt;0,Table4[[#This Row],[total_cost_eur]]*'Calculations &amp; Assumptions'!$C$5,0))</f>
        <v>537030</v>
      </c>
      <c r="M29" s="77">
        <f>IF(H29="smartmeter_1ph",Table4[[#This Row],[total_cost_npr]],Table4[[#This Row],[total_cost_npr]]/Table4[[#This Row],[pv_kWp]])</f>
        <v>107406</v>
      </c>
      <c r="N29" s="3"/>
      <c r="O29" s="3">
        <f>Table4[[#This Row],[total_cost_inr]]/Table4[[#This Row],[pv_kWp]]</f>
        <v>0</v>
      </c>
      <c r="P29" s="3">
        <v>4131</v>
      </c>
      <c r="Q29" s="3">
        <f>Table4[[#This Row],[total_cost_eur]]/Table4[[#This Row],[pv_kWp]]</f>
        <v>826.2</v>
      </c>
      <c r="R29" s="3"/>
      <c r="S29" s="3"/>
      <c r="T29" s="3">
        <v>5</v>
      </c>
      <c r="U29" s="3"/>
      <c r="V29" s="3"/>
      <c r="W29" s="3"/>
      <c r="X29" s="3"/>
      <c r="Y29" s="3"/>
      <c r="Z29" s="3"/>
      <c r="AA29" s="3"/>
      <c r="AB29" s="3"/>
      <c r="AC29" s="3"/>
      <c r="AD29" s="3">
        <v>5</v>
      </c>
      <c r="AE29" s="3"/>
      <c r="AF29" s="3"/>
      <c r="AG29" s="3"/>
      <c r="AH29" s="3"/>
      <c r="AI29" s="3"/>
      <c r="AJ29" s="3"/>
      <c r="AK29" s="3"/>
      <c r="AL29" s="3"/>
      <c r="AM29" s="3"/>
      <c r="AN29" s="3"/>
      <c r="AO29" s="3"/>
      <c r="AP29" s="3"/>
      <c r="AQ29" s="3"/>
      <c r="AR29" s="3"/>
      <c r="AS29" s="1"/>
      <c r="AT29" s="1"/>
      <c r="AU29" s="1"/>
      <c r="AV29" s="1"/>
      <c r="AW29" s="1"/>
      <c r="AX29" s="1"/>
      <c r="AY29" s="1"/>
      <c r="AZ29" s="1"/>
      <c r="BA29" s="1"/>
      <c r="BB29" s="1"/>
      <c r="BC29" s="1"/>
      <c r="BD29" s="1"/>
      <c r="BE29" s="1"/>
      <c r="BF29" s="1"/>
      <c r="BG29" s="1"/>
      <c r="BH29" s="1"/>
      <c r="BI29" s="1"/>
      <c r="BJ29" s="1"/>
      <c r="BK29" s="1"/>
    </row>
    <row r="30" spans="1:63" ht="16" thickBot="1" x14ac:dyDescent="0.25">
      <c r="A30" s="3">
        <v>29</v>
      </c>
      <c r="B30" s="3" t="s">
        <v>85</v>
      </c>
      <c r="C30" s="3" t="s">
        <v>543</v>
      </c>
      <c r="D30" s="3" t="s">
        <v>83</v>
      </c>
      <c r="E30" s="3"/>
      <c r="F30" s="3">
        <v>2022</v>
      </c>
      <c r="G30" s="3" t="s">
        <v>51</v>
      </c>
      <c r="H30" s="1" t="s">
        <v>92</v>
      </c>
      <c r="I30" s="3" t="s">
        <v>93</v>
      </c>
      <c r="J30" s="113">
        <f>Table4[[#This Row],[total_cost_npr]]*(1/'Calculations &amp; Assumptions'!$C$6)</f>
        <v>2767.1285604311006</v>
      </c>
      <c r="K30" s="113">
        <f>Table4[[#This Row],[system_cost_npr_per_kwp]]*(1/'Calculations &amp; Assumptions'!$C$6)</f>
        <v>838.52380619124267</v>
      </c>
      <c r="L30" s="23">
        <f>IF(Table4[[#This Row],[total_cost_inr]]&gt;0, Table4[[#This Row],[total_cost_inr]]*'Calculations &amp; Assumptions'!$C$7,IF(Table4[[#This Row],[total_cost_eur]]&gt;0,Table4[[#This Row],[total_cost_eur]]*'Calculations &amp; Assumptions'!$C$5,0))</f>
        <v>359450</v>
      </c>
      <c r="M30" s="77">
        <f>IF(H30="smartmeter_1ph",Table4[[#This Row],[total_cost_npr]],Table4[[#This Row],[total_cost_npr]]/Table4[[#This Row],[pv_kWp]])</f>
        <v>108924.24242424243</v>
      </c>
      <c r="N30" s="3"/>
      <c r="O30" s="3">
        <f>Table4[[#This Row],[total_cost_inr]]/Table4[[#This Row],[pv_kWp]]</f>
        <v>0</v>
      </c>
      <c r="P30" s="3">
        <v>2765</v>
      </c>
      <c r="Q30" s="3">
        <f>Table4[[#This Row],[total_cost_eur]]/Table4[[#This Row],[pv_kWp]]</f>
        <v>837.87878787878788</v>
      </c>
      <c r="R30" s="3"/>
      <c r="S30" s="3"/>
      <c r="T30" s="3">
        <v>3.3</v>
      </c>
      <c r="U30" s="3"/>
      <c r="V30" s="3"/>
      <c r="W30" s="3"/>
      <c r="X30" s="3"/>
      <c r="Y30" s="3"/>
      <c r="Z30" s="3"/>
      <c r="AA30" s="3"/>
      <c r="AB30" s="3"/>
      <c r="AC30" s="3"/>
      <c r="AD30" s="3"/>
      <c r="AE30" s="3"/>
      <c r="AF30" s="3"/>
      <c r="AG30" s="3"/>
      <c r="AH30" s="3"/>
      <c r="AI30" s="3"/>
      <c r="AJ30" s="3"/>
      <c r="AK30" s="3"/>
      <c r="AL30" s="3"/>
      <c r="AM30" s="3"/>
      <c r="AN30" s="3"/>
      <c r="AO30" s="3"/>
      <c r="AP30" s="3"/>
      <c r="AQ30" s="3"/>
      <c r="AR30" s="3"/>
      <c r="AS30" s="1"/>
      <c r="AT30" s="1"/>
      <c r="AU30" s="1"/>
      <c r="AV30" s="1"/>
      <c r="AW30" s="1"/>
      <c r="AX30" s="1"/>
      <c r="AY30" s="1"/>
      <c r="AZ30" s="1"/>
      <c r="BA30" s="1"/>
      <c r="BB30" s="1"/>
      <c r="BC30" s="1"/>
      <c r="BD30" s="1"/>
      <c r="BE30" s="1"/>
      <c r="BF30" s="1"/>
      <c r="BG30" s="1"/>
      <c r="BH30" s="1"/>
      <c r="BI30" s="1"/>
      <c r="BJ30" s="1"/>
      <c r="BK30" s="1"/>
    </row>
    <row r="31" spans="1:63" ht="16" thickBot="1" x14ac:dyDescent="0.25">
      <c r="A31" s="3">
        <v>30</v>
      </c>
      <c r="B31" s="25" t="s">
        <v>157</v>
      </c>
      <c r="C31" s="3" t="s">
        <v>543</v>
      </c>
      <c r="D31" s="3" t="s">
        <v>160</v>
      </c>
      <c r="E31" s="3"/>
      <c r="F31" s="3">
        <v>2022</v>
      </c>
      <c r="G31" s="3" t="s">
        <v>51</v>
      </c>
      <c r="H31" s="1" t="s">
        <v>52</v>
      </c>
      <c r="I31" s="26" t="s">
        <v>161</v>
      </c>
      <c r="J31" s="113">
        <f>Table4[[#This Row],[total_cost_npr]]*(1/'Calculations &amp; Assumptions'!$C$6)</f>
        <v>60.046189376443415</v>
      </c>
      <c r="K31" s="113">
        <f>Table4[[#This Row],[system_cost_npr_per_kwp]]*(1/'Calculations &amp; Assumptions'!$C$6)</f>
        <v>60.046189376443415</v>
      </c>
      <c r="L31" s="23">
        <f>IF(Table4[[#This Row],[total_cost_inr]]&gt;0, Table4[[#This Row],[total_cost_inr]]*'Calculations &amp; Assumptions'!$C$7,IF(Table4[[#This Row],[total_cost_eur]]&gt;0,Table4[[#This Row],[total_cost_eur]]*'Calculations &amp; Assumptions'!$C$5,0))</f>
        <v>7800</v>
      </c>
      <c r="M31" s="77">
        <f>IF(H31="smartmeter_1ph",Table4[[#This Row],[total_cost_npr]],Table4[[#This Row],[total_cost_npr]]/Table4[[#This Row],[pv_kWp]])</f>
        <v>7800</v>
      </c>
      <c r="N31" s="3"/>
      <c r="O31" s="3"/>
      <c r="P31" s="3">
        <v>60</v>
      </c>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1"/>
      <c r="AT31" s="1"/>
      <c r="AU31" s="1"/>
      <c r="AV31" s="1"/>
      <c r="AW31" s="1"/>
      <c r="AX31" s="1"/>
      <c r="AY31" s="1"/>
      <c r="AZ31" s="1"/>
      <c r="BA31" s="1"/>
      <c r="BB31" s="1"/>
      <c r="BC31" s="1"/>
      <c r="BD31" s="1"/>
      <c r="BE31" s="1"/>
      <c r="BF31" s="1"/>
      <c r="BG31" s="1"/>
      <c r="BH31" s="1"/>
      <c r="BI31" s="1"/>
      <c r="BJ31" s="1"/>
      <c r="BK31" s="1"/>
    </row>
    <row r="32" spans="1:63" ht="16" thickBot="1" x14ac:dyDescent="0.25">
      <c r="A32" s="3">
        <v>31</v>
      </c>
      <c r="B32" s="78" t="s">
        <v>162</v>
      </c>
      <c r="C32" s="3" t="s">
        <v>543</v>
      </c>
      <c r="D32" s="3" t="s">
        <v>160</v>
      </c>
      <c r="E32" s="3"/>
      <c r="F32" s="3">
        <v>2022</v>
      </c>
      <c r="G32" s="3" t="s">
        <v>51</v>
      </c>
      <c r="H32" s="1" t="s">
        <v>92</v>
      </c>
      <c r="I32" s="26" t="s">
        <v>163</v>
      </c>
      <c r="J32" s="113">
        <f>Table4[[#This Row],[total_cost_npr]]*(1/'Calculations &amp; Assumptions'!$C$6)</f>
        <v>514.39568899153187</v>
      </c>
      <c r="K32" s="113">
        <f>Table4[[#This Row],[system_cost_npr_per_kwp]]*(1/'Calculations &amp; Assumptions'!$C$6)</f>
        <v>514.39568899153187</v>
      </c>
      <c r="L32" s="23">
        <f>IF(Table4[[#This Row],[total_cost_inr]]&gt;0, Table4[[#This Row],[total_cost_inr]]*'Calculations &amp; Assumptions'!$C$7,IF(Table4[[#This Row],[total_cost_eur]]&gt;0,Table4[[#This Row],[total_cost_eur]]*'Calculations &amp; Assumptions'!$C$5,0))</f>
        <v>66820</v>
      </c>
      <c r="M32" s="77">
        <f>IF(H32="smartmeter_1ph",Table4[[#This Row],[total_cost_npr]],Table4[[#This Row],[total_cost_npr]]/Table4[[#This Row],[pv_kWp]])</f>
        <v>66820</v>
      </c>
      <c r="N32" s="3"/>
      <c r="O32" s="3">
        <f>Table4[[#This Row],[total_cost_inr]]/Table4[[#This Row],[pv_kWp]]</f>
        <v>0</v>
      </c>
      <c r="P32" s="3">
        <v>514</v>
      </c>
      <c r="Q32" s="3">
        <f>Table4[[#This Row],[total_cost_eur]]/Table4[[#This Row],[pv_kWp]]</f>
        <v>514</v>
      </c>
      <c r="R32" s="3"/>
      <c r="S32" s="3"/>
      <c r="T32" s="3">
        <v>1</v>
      </c>
      <c r="U32" s="3"/>
      <c r="V32" s="3"/>
      <c r="W32" s="3"/>
      <c r="X32" s="3"/>
      <c r="Y32" s="3"/>
      <c r="Z32" s="3"/>
      <c r="AA32" s="3"/>
      <c r="AB32" s="3">
        <v>1</v>
      </c>
      <c r="AC32" s="3"/>
      <c r="AD32" s="3"/>
      <c r="AE32" s="3"/>
      <c r="AF32" s="3"/>
      <c r="AG32" s="3"/>
      <c r="AH32" s="3"/>
      <c r="AI32" s="3"/>
      <c r="AJ32" s="3"/>
      <c r="AK32" s="3"/>
      <c r="AL32" s="3"/>
      <c r="AM32" s="3"/>
      <c r="AN32" s="3"/>
      <c r="AO32" s="3"/>
      <c r="AP32" s="3"/>
      <c r="AQ32" s="3"/>
      <c r="AR32" s="3"/>
      <c r="AS32" s="1"/>
      <c r="AT32" s="1"/>
      <c r="AU32" s="1"/>
      <c r="AV32" s="1"/>
      <c r="AW32" s="1"/>
      <c r="AX32" s="1"/>
      <c r="AY32" s="1"/>
      <c r="AZ32" s="1"/>
      <c r="BA32" s="1"/>
      <c r="BB32" s="1"/>
      <c r="BC32" s="1"/>
      <c r="BD32" s="1"/>
      <c r="BE32" s="1"/>
      <c r="BF32" s="1"/>
      <c r="BG32" s="1"/>
      <c r="BH32" s="1"/>
      <c r="BI32" s="1"/>
      <c r="BJ32" s="1"/>
      <c r="BK32" s="1"/>
    </row>
    <row r="33" spans="1:63" ht="16" thickBot="1" x14ac:dyDescent="0.25">
      <c r="A33" s="3">
        <v>32</v>
      </c>
      <c r="B33" s="28" t="s">
        <v>164</v>
      </c>
      <c r="C33" s="3" t="s">
        <v>543</v>
      </c>
      <c r="D33" s="3" t="s">
        <v>160</v>
      </c>
      <c r="E33" s="3"/>
      <c r="F33" s="3">
        <v>2022</v>
      </c>
      <c r="G33" s="3" t="s">
        <v>51</v>
      </c>
      <c r="H33" s="1" t="s">
        <v>92</v>
      </c>
      <c r="I33" s="26" t="s">
        <v>165</v>
      </c>
      <c r="J33" s="113">
        <f>Table4[[#This Row],[total_cost_npr]]*(1/'Calculations &amp; Assumptions'!$C$6)</f>
        <v>3002.3094688221704</v>
      </c>
      <c r="K33" s="113">
        <f>Table4[[#This Row],[system_cost_npr_per_kwp]]*(1/'Calculations &amp; Assumptions'!$C$6)</f>
        <v>300.23094688221704</v>
      </c>
      <c r="L33" s="23">
        <f>IF(Table4[[#This Row],[total_cost_inr]]&gt;0, Table4[[#This Row],[total_cost_inr]]*'Calculations &amp; Assumptions'!$C$7,IF(Table4[[#This Row],[total_cost_eur]]&gt;0,Table4[[#This Row],[total_cost_eur]]*'Calculations &amp; Assumptions'!$C$5,0))</f>
        <v>390000</v>
      </c>
      <c r="M33" s="77">
        <f>IF(H33="smartmeter_1ph",Table4[[#This Row],[total_cost_npr]],Table4[[#This Row],[total_cost_npr]]/Table4[[#This Row],[pv_kWp]])</f>
        <v>39000</v>
      </c>
      <c r="N33" s="3"/>
      <c r="O33" s="3">
        <f>Table4[[#This Row],[total_cost_inr]]/Table4[[#This Row],[pv_kWp]]</f>
        <v>0</v>
      </c>
      <c r="P33" s="3">
        <v>3000</v>
      </c>
      <c r="Q33" s="3">
        <f>Table4[[#This Row],[total_cost_eur]]/Table4[[#This Row],[pv_kWp]]</f>
        <v>300</v>
      </c>
      <c r="R33" s="3"/>
      <c r="S33" s="3"/>
      <c r="T33" s="3">
        <v>10</v>
      </c>
      <c r="U33" s="3"/>
      <c r="V33" s="3"/>
      <c r="W33" s="3"/>
      <c r="X33" s="3"/>
      <c r="Y33" s="3"/>
      <c r="Z33" s="3"/>
      <c r="AA33" s="3"/>
      <c r="AB33" s="3">
        <v>10</v>
      </c>
      <c r="AC33" s="3"/>
      <c r="AD33" s="3"/>
      <c r="AE33" s="3"/>
      <c r="AF33" s="3"/>
      <c r="AG33" s="3"/>
      <c r="AH33" s="3"/>
      <c r="AI33" s="3"/>
      <c r="AJ33" s="3"/>
      <c r="AK33" s="3"/>
      <c r="AL33" s="3"/>
      <c r="AM33" s="3"/>
      <c r="AN33" s="3"/>
      <c r="AO33" s="3"/>
      <c r="AP33" s="3"/>
      <c r="AQ33" s="3"/>
      <c r="AR33" s="3"/>
      <c r="AS33" s="1"/>
      <c r="AT33" s="1"/>
      <c r="AU33" s="1"/>
      <c r="AV33" s="1"/>
      <c r="AW33" s="1"/>
      <c r="AX33" s="1"/>
      <c r="AY33" s="1"/>
      <c r="AZ33" s="1"/>
      <c r="BA33" s="1"/>
      <c r="BB33" s="1"/>
      <c r="BC33" s="1"/>
      <c r="BD33" s="1"/>
      <c r="BE33" s="1"/>
      <c r="BF33" s="1"/>
      <c r="BG33" s="1"/>
      <c r="BH33" s="1"/>
      <c r="BI33" s="1"/>
      <c r="BJ33" s="1"/>
      <c r="BK33" s="1"/>
    </row>
    <row r="34" spans="1:63" ht="16" thickBot="1" x14ac:dyDescent="0.25">
      <c r="A34" s="3">
        <v>33</v>
      </c>
      <c r="B34" s="29" t="s">
        <v>166</v>
      </c>
      <c r="C34" s="3" t="s">
        <v>543</v>
      </c>
      <c r="D34" s="3" t="s">
        <v>160</v>
      </c>
      <c r="E34" s="3"/>
      <c r="F34" s="3">
        <v>2022</v>
      </c>
      <c r="G34" s="3" t="s">
        <v>51</v>
      </c>
      <c r="H34" s="1" t="s">
        <v>92</v>
      </c>
      <c r="I34" s="26" t="s">
        <v>167</v>
      </c>
      <c r="J34" s="113">
        <f>Table4[[#This Row],[total_cost_npr]]*(1/'Calculations &amp; Assumptions'!$C$6)</f>
        <v>780.60046189376442</v>
      </c>
      <c r="K34" s="113">
        <f>Table4[[#This Row],[system_cost_npr_per_kwp]]*(1/'Calculations &amp; Assumptions'!$C$6)</f>
        <v>195.1501154734411</v>
      </c>
      <c r="L34" s="23">
        <f>IF(Table4[[#This Row],[total_cost_inr]]&gt;0, Table4[[#This Row],[total_cost_inr]]*'Calculations &amp; Assumptions'!$C$7,IF(Table4[[#This Row],[total_cost_eur]]&gt;0,Table4[[#This Row],[total_cost_eur]]*'Calculations &amp; Assumptions'!$C$5,0))</f>
        <v>101400</v>
      </c>
      <c r="M34" s="77">
        <f>IF(H34="smartmeter_1ph",Table4[[#This Row],[total_cost_npr]],Table4[[#This Row],[total_cost_npr]]/Table4[[#This Row],[pv_kWp]])</f>
        <v>25350</v>
      </c>
      <c r="N34" s="3"/>
      <c r="O34" s="3">
        <f>Table4[[#This Row],[total_cost_inr]]/Table4[[#This Row],[pv_kWp]]</f>
        <v>0</v>
      </c>
      <c r="P34" s="3">
        <v>780</v>
      </c>
      <c r="Q34" s="3">
        <f>Table4[[#This Row],[total_cost_eur]]/Table4[[#This Row],[pv_kWp]]</f>
        <v>195</v>
      </c>
      <c r="R34" s="3"/>
      <c r="S34" s="3"/>
      <c r="T34" s="3">
        <v>4</v>
      </c>
      <c r="U34" s="3"/>
      <c r="V34" s="3"/>
      <c r="W34" s="3"/>
      <c r="X34" s="3"/>
      <c r="Y34" s="3"/>
      <c r="Z34" s="3"/>
      <c r="AA34" s="3"/>
      <c r="AB34" s="3">
        <v>4</v>
      </c>
      <c r="AC34" s="3"/>
      <c r="AD34" s="3"/>
      <c r="AE34" s="3"/>
      <c r="AF34" s="3"/>
      <c r="AG34" s="3"/>
      <c r="AH34" s="3"/>
      <c r="AI34" s="3"/>
      <c r="AJ34" s="3"/>
      <c r="AK34" s="3"/>
      <c r="AL34" s="3"/>
      <c r="AM34" s="3"/>
      <c r="AN34" s="3"/>
      <c r="AO34" s="3"/>
      <c r="AP34" s="3"/>
      <c r="AQ34" s="3"/>
      <c r="AR34" s="3"/>
      <c r="AS34" s="1"/>
      <c r="AT34" s="1"/>
      <c r="AU34" s="1"/>
      <c r="AV34" s="1"/>
      <c r="AW34" s="1"/>
      <c r="AX34" s="1"/>
      <c r="AY34" s="1"/>
      <c r="AZ34" s="1"/>
      <c r="BA34" s="1"/>
      <c r="BB34" s="1"/>
      <c r="BC34" s="1"/>
      <c r="BD34" s="1"/>
      <c r="BE34" s="1"/>
      <c r="BF34" s="1"/>
      <c r="BG34" s="1"/>
      <c r="BH34" s="1"/>
      <c r="BI34" s="1"/>
      <c r="BJ34" s="1"/>
      <c r="BK34" s="1"/>
    </row>
    <row r="35" spans="1:63" ht="16" thickBot="1" x14ac:dyDescent="0.25">
      <c r="A35" s="3">
        <v>34</v>
      </c>
      <c r="B35" s="28" t="s">
        <v>168</v>
      </c>
      <c r="C35" s="3" t="s">
        <v>543</v>
      </c>
      <c r="D35" s="3" t="s">
        <v>160</v>
      </c>
      <c r="E35" s="3"/>
      <c r="F35" s="3">
        <v>2022</v>
      </c>
      <c r="G35" s="3" t="s">
        <v>51</v>
      </c>
      <c r="H35" s="1" t="s">
        <v>92</v>
      </c>
      <c r="I35" s="26" t="s">
        <v>169</v>
      </c>
      <c r="J35" s="113">
        <f>Table4[[#This Row],[total_cost_npr]]*(1/'Calculations &amp; Assumptions'!$C$6)</f>
        <v>6302.8483448806764</v>
      </c>
      <c r="K35" s="113">
        <f>Table4[[#This Row],[system_cost_npr_per_kwp]]*(1/'Calculations &amp; Assumptions'!$C$6)</f>
        <v>210.09494482935588</v>
      </c>
      <c r="L35" s="23">
        <f>IF(Table4[[#This Row],[total_cost_inr]]&gt;0, Table4[[#This Row],[total_cost_inr]]*'Calculations &amp; Assumptions'!$C$7,IF(Table4[[#This Row],[total_cost_eur]]&gt;0,Table4[[#This Row],[total_cost_eur]]*'Calculations &amp; Assumptions'!$C$5,0))</f>
        <v>818740</v>
      </c>
      <c r="M35" s="77">
        <f>IF(H35="smartmeter_1ph",Table4[[#This Row],[total_cost_npr]],Table4[[#This Row],[total_cost_npr]]/Table4[[#This Row],[pv_kWp]])</f>
        <v>27291.333333333332</v>
      </c>
      <c r="N35" s="3"/>
      <c r="O35" s="3">
        <f>Table4[[#This Row],[total_cost_inr]]/Table4[[#This Row],[pv_kWp]]</f>
        <v>0</v>
      </c>
      <c r="P35" s="79">
        <v>6298</v>
      </c>
      <c r="Q35" s="3">
        <f>Table4[[#This Row],[total_cost_eur]]/Table4[[#This Row],[pv_kWp]]</f>
        <v>209.93333333333334</v>
      </c>
      <c r="R35" s="3"/>
      <c r="S35" s="3"/>
      <c r="T35" s="3">
        <v>30</v>
      </c>
      <c r="U35" s="3"/>
      <c r="V35" s="3"/>
      <c r="W35" s="3"/>
      <c r="X35" s="3"/>
      <c r="Y35" s="3"/>
      <c r="Z35" s="3"/>
      <c r="AA35" s="3"/>
      <c r="AB35" s="3">
        <v>30</v>
      </c>
      <c r="AC35" s="3"/>
      <c r="AD35" s="3"/>
      <c r="AE35" s="3"/>
      <c r="AF35" s="3"/>
      <c r="AG35" s="3"/>
      <c r="AH35" s="3"/>
      <c r="AI35" s="3"/>
      <c r="AJ35" s="3"/>
      <c r="AK35" s="3"/>
      <c r="AL35" s="3"/>
      <c r="AM35" s="3"/>
      <c r="AN35" s="3"/>
      <c r="AO35" s="3"/>
      <c r="AP35" s="3"/>
      <c r="AQ35" s="3"/>
      <c r="AR35" s="3"/>
      <c r="AS35" s="1"/>
      <c r="AT35" s="1"/>
      <c r="AU35" s="1"/>
      <c r="AV35" s="1"/>
      <c r="AW35" s="1"/>
      <c r="AX35" s="1"/>
      <c r="AY35" s="1"/>
      <c r="AZ35" s="1"/>
      <c r="BA35" s="1"/>
      <c r="BB35" s="1"/>
      <c r="BC35" s="1"/>
      <c r="BD35" s="1"/>
      <c r="BE35" s="1"/>
      <c r="BF35" s="1"/>
      <c r="BG35" s="1"/>
      <c r="BH35" s="1"/>
      <c r="BI35" s="1"/>
      <c r="BJ35" s="1"/>
      <c r="BK35" s="1"/>
    </row>
    <row r="36" spans="1:63" ht="16" thickBot="1" x14ac:dyDescent="0.25">
      <c r="A36" s="3">
        <v>35</v>
      </c>
      <c r="B36" s="26" t="s">
        <v>170</v>
      </c>
      <c r="C36" s="3" t="s">
        <v>543</v>
      </c>
      <c r="D36" s="3" t="s">
        <v>160</v>
      </c>
      <c r="E36" s="3"/>
      <c r="F36" s="3">
        <v>2022</v>
      </c>
      <c r="G36" s="3" t="s">
        <v>51</v>
      </c>
      <c r="H36" s="1" t="s">
        <v>92</v>
      </c>
      <c r="I36" s="26" t="s">
        <v>171</v>
      </c>
      <c r="J36" s="113">
        <f>Table4[[#This Row],[total_cost_npr]]*(1/'Calculations &amp; Assumptions'!$C$6)</f>
        <v>640.49268668206309</v>
      </c>
      <c r="K36" s="113">
        <f>Table4[[#This Row],[system_cost_npr_per_kwp]]*(1/'Calculations &amp; Assumptions'!$C$6)</f>
        <v>213.49756222735434</v>
      </c>
      <c r="L36" s="23">
        <f>IF(Table4[[#This Row],[total_cost_inr]]&gt;0, Table4[[#This Row],[total_cost_inr]]*'Calculations &amp; Assumptions'!$C$7,IF(Table4[[#This Row],[total_cost_eur]]&gt;0,Table4[[#This Row],[total_cost_eur]]*'Calculations &amp; Assumptions'!$C$5,0))</f>
        <v>83200</v>
      </c>
      <c r="M36" s="77">
        <f>IF(H36="smartmeter_1ph",Table4[[#This Row],[total_cost_npr]],Table4[[#This Row],[total_cost_npr]]/Table4[[#This Row],[pv_kWp]])</f>
        <v>27733.333333333332</v>
      </c>
      <c r="N36" s="3"/>
      <c r="O36" s="3">
        <f>Table4[[#This Row],[total_cost_inr]]/Table4[[#This Row],[pv_kWp]]</f>
        <v>0</v>
      </c>
      <c r="P36" s="3">
        <v>640</v>
      </c>
      <c r="Q36" s="3">
        <f>Table4[[#This Row],[total_cost_eur]]/Table4[[#This Row],[pv_kWp]]</f>
        <v>213.33333333333334</v>
      </c>
      <c r="R36" s="3"/>
      <c r="S36" s="3"/>
      <c r="T36" s="1">
        <v>3</v>
      </c>
      <c r="U36" s="3"/>
      <c r="V36" s="3"/>
      <c r="W36" s="3"/>
      <c r="X36" s="3"/>
      <c r="Y36" s="3"/>
      <c r="Z36" s="3"/>
      <c r="AA36" s="3"/>
      <c r="AB36" s="3">
        <v>3</v>
      </c>
      <c r="AC36" s="3"/>
      <c r="AD36" s="3"/>
      <c r="AE36" s="3"/>
      <c r="AF36" s="3"/>
      <c r="AG36" s="3"/>
      <c r="AH36" s="3"/>
      <c r="AI36" s="3"/>
      <c r="AJ36" s="3"/>
      <c r="AK36" s="3"/>
      <c r="AL36" s="3"/>
      <c r="AM36" s="3"/>
      <c r="AN36" s="3"/>
      <c r="AO36" s="3"/>
      <c r="AP36" s="3"/>
      <c r="AQ36" s="3"/>
      <c r="AR36" s="3"/>
      <c r="AS36" s="1"/>
      <c r="AT36" s="1"/>
      <c r="AU36" s="1"/>
      <c r="AV36" s="1"/>
      <c r="AW36" s="1"/>
      <c r="AX36" s="1"/>
      <c r="AY36" s="1"/>
      <c r="AZ36" s="1"/>
      <c r="BA36" s="1"/>
      <c r="BB36" s="1"/>
      <c r="BC36" s="1"/>
      <c r="BD36" s="1"/>
      <c r="BE36" s="1"/>
      <c r="BF36" s="1"/>
      <c r="BG36" s="1"/>
      <c r="BH36" s="1"/>
      <c r="BI36" s="1"/>
      <c r="BJ36" s="1"/>
      <c r="BK36" s="1"/>
    </row>
    <row r="37" spans="1:63" ht="16" thickBot="1" x14ac:dyDescent="0.25">
      <c r="A37" s="3">
        <v>36</v>
      </c>
      <c r="B37" s="28" t="s">
        <v>172</v>
      </c>
      <c r="C37" s="3" t="s">
        <v>543</v>
      </c>
      <c r="D37" s="3" t="s">
        <v>160</v>
      </c>
      <c r="E37" s="3"/>
      <c r="F37" s="3">
        <v>2022</v>
      </c>
      <c r="G37" s="3" t="s">
        <v>51</v>
      </c>
      <c r="H37" s="1" t="s">
        <v>92</v>
      </c>
      <c r="I37" s="26" t="s">
        <v>173</v>
      </c>
      <c r="J37" s="113">
        <f>Table4[[#This Row],[total_cost_npr]]*(1/'Calculations &amp; Assumptions'!$C$6)</f>
        <v>599.46112394149338</v>
      </c>
      <c r="K37" s="113">
        <f>Table4[[#This Row],[system_cost_npr_per_kwp]]*(1/'Calculations &amp; Assumptions'!$C$6)</f>
        <v>171.27460684042669</v>
      </c>
      <c r="L37" s="23">
        <f>IF(Table4[[#This Row],[total_cost_inr]]&gt;0, Table4[[#This Row],[total_cost_inr]]*'Calculations &amp; Assumptions'!$C$7,IF(Table4[[#This Row],[total_cost_eur]]&gt;0,Table4[[#This Row],[total_cost_eur]]*'Calculations &amp; Assumptions'!$C$5,0))</f>
        <v>77870</v>
      </c>
      <c r="M37" s="77">
        <f>IF(H37="smartmeter_1ph",Table4[[#This Row],[total_cost_npr]],Table4[[#This Row],[total_cost_npr]]/Table4[[#This Row],[pv_kWp]])</f>
        <v>22248.571428571428</v>
      </c>
      <c r="N37" s="3"/>
      <c r="O37" s="3">
        <f>Table4[[#This Row],[total_cost_inr]]/Table4[[#This Row],[pv_kWp]]</f>
        <v>0</v>
      </c>
      <c r="P37" s="3">
        <v>599</v>
      </c>
      <c r="Q37" s="3">
        <f>Table4[[#This Row],[total_cost_eur]]/Table4[[#This Row],[pv_kWp]]</f>
        <v>171.14285714285714</v>
      </c>
      <c r="R37" s="3"/>
      <c r="S37" s="3"/>
      <c r="T37" s="1">
        <v>3.5</v>
      </c>
      <c r="U37" s="3"/>
      <c r="V37" s="3"/>
      <c r="W37" s="3"/>
      <c r="X37" s="3"/>
      <c r="Y37" s="3"/>
      <c r="Z37" s="3"/>
      <c r="AA37" s="3"/>
      <c r="AB37" s="3">
        <v>3.5</v>
      </c>
      <c r="AC37" s="3"/>
      <c r="AD37" s="3"/>
      <c r="AE37" s="3"/>
      <c r="AF37" s="3"/>
      <c r="AG37" s="3"/>
      <c r="AH37" s="3"/>
      <c r="AI37" s="3"/>
      <c r="AJ37" s="3"/>
      <c r="AK37" s="3"/>
      <c r="AL37" s="3"/>
      <c r="AM37" s="3"/>
      <c r="AN37" s="3"/>
      <c r="AO37" s="3"/>
      <c r="AP37" s="3"/>
      <c r="AQ37" s="3"/>
      <c r="AR37" s="3"/>
      <c r="AS37" s="1"/>
      <c r="AT37" s="1"/>
      <c r="AU37" s="1"/>
      <c r="AV37" s="1"/>
      <c r="AW37" s="1"/>
      <c r="AX37" s="1"/>
      <c r="AY37" s="1"/>
      <c r="AZ37" s="1"/>
      <c r="BA37" s="1"/>
      <c r="BB37" s="1"/>
      <c r="BC37" s="1"/>
      <c r="BD37" s="1"/>
      <c r="BE37" s="1"/>
      <c r="BF37" s="1"/>
      <c r="BG37" s="1"/>
      <c r="BH37" s="1"/>
      <c r="BI37" s="1"/>
      <c r="BJ37" s="1"/>
      <c r="BK37" s="1"/>
    </row>
    <row r="38" spans="1:63" ht="16" thickBot="1" x14ac:dyDescent="0.25">
      <c r="A38" s="3">
        <v>37</v>
      </c>
      <c r="B38" s="80" t="s">
        <v>174</v>
      </c>
      <c r="C38" s="3" t="s">
        <v>543</v>
      </c>
      <c r="D38" s="3" t="s">
        <v>155</v>
      </c>
      <c r="E38" s="3"/>
      <c r="F38" s="3">
        <v>2022</v>
      </c>
      <c r="G38" s="3" t="s">
        <v>51</v>
      </c>
      <c r="H38" s="1" t="s">
        <v>92</v>
      </c>
      <c r="I38" s="26" t="s">
        <v>175</v>
      </c>
      <c r="J38" s="113">
        <f>Table4[[#This Row],[total_cost_npr]]*(1/'Calculations &amp; Assumptions'!$C$6)</f>
        <v>700.5388760585065</v>
      </c>
      <c r="K38" s="113">
        <f>Table4[[#This Row],[system_cost_npr_per_kwp]]*(1/'Calculations &amp; Assumptions'!$C$6)</f>
        <v>87.567359507313313</v>
      </c>
      <c r="L38" s="23">
        <f>IF(Table4[[#This Row],[total_cost_inr]]&gt;0, Table4[[#This Row],[total_cost_inr]]*'Calculations &amp; Assumptions'!$C$7,IF(Table4[[#This Row],[total_cost_eur]]&gt;0,Table4[[#This Row],[total_cost_eur]]*'Calculations &amp; Assumptions'!$C$5,0))</f>
        <v>91000</v>
      </c>
      <c r="M38" s="77">
        <f>IF(H38="smartmeter_1ph",Table4[[#This Row],[total_cost_npr]],Table4[[#This Row],[total_cost_npr]]/Table4[[#This Row],[pv_kWp]])</f>
        <v>11375</v>
      </c>
      <c r="N38" s="3"/>
      <c r="O38" s="3">
        <f>Table4[[#This Row],[total_cost_inr]]/Table4[[#This Row],[pv_kWp]]</f>
        <v>0</v>
      </c>
      <c r="P38" s="3">
        <v>700</v>
      </c>
      <c r="Q38" s="3">
        <f>Table4[[#This Row],[total_cost_eur]]/Table4[[#This Row],[pv_kWp]]</f>
        <v>87.5</v>
      </c>
      <c r="R38" s="3"/>
      <c r="S38" s="3"/>
      <c r="T38" s="1">
        <v>8</v>
      </c>
      <c r="U38" s="3"/>
      <c r="V38" s="3"/>
      <c r="W38" s="3"/>
      <c r="X38" s="3"/>
      <c r="Y38" s="3"/>
      <c r="Z38" s="3"/>
      <c r="AA38" s="3"/>
      <c r="AB38" s="3">
        <v>8</v>
      </c>
      <c r="AC38" s="3"/>
      <c r="AD38" s="3"/>
      <c r="AE38" s="3"/>
      <c r="AF38" s="3"/>
      <c r="AG38" s="3"/>
      <c r="AH38" s="3"/>
      <c r="AI38" s="3"/>
      <c r="AJ38" s="3"/>
      <c r="AK38" s="3"/>
      <c r="AL38" s="3"/>
      <c r="AM38" s="3"/>
      <c r="AN38" s="3"/>
      <c r="AO38" s="3"/>
      <c r="AP38" s="3"/>
      <c r="AQ38" s="3"/>
      <c r="AR38" s="3"/>
      <c r="AS38" s="1"/>
      <c r="AT38" s="1"/>
      <c r="AU38" s="1"/>
      <c r="AV38" s="1"/>
      <c r="AW38" s="1"/>
      <c r="AX38" s="1"/>
      <c r="AY38" s="1"/>
      <c r="AZ38" s="1"/>
      <c r="BA38" s="1"/>
      <c r="BB38" s="1"/>
      <c r="BC38" s="1"/>
      <c r="BD38" s="1"/>
      <c r="BE38" s="1"/>
      <c r="BF38" s="1"/>
      <c r="BG38" s="1"/>
      <c r="BH38" s="1"/>
      <c r="BI38" s="1"/>
      <c r="BJ38" s="1"/>
      <c r="BK38" s="1"/>
    </row>
    <row r="39" spans="1:63" ht="16" thickBot="1" x14ac:dyDescent="0.25">
      <c r="A39" s="3">
        <v>38</v>
      </c>
      <c r="B39" s="80" t="s">
        <v>176</v>
      </c>
      <c r="C39" s="3" t="s">
        <v>543</v>
      </c>
      <c r="D39" s="3" t="s">
        <v>160</v>
      </c>
      <c r="E39" s="3"/>
      <c r="F39" s="3">
        <v>2022</v>
      </c>
      <c r="G39" s="3" t="s">
        <v>51</v>
      </c>
      <c r="H39" s="1" t="s">
        <v>92</v>
      </c>
      <c r="I39" s="26" t="s">
        <v>177</v>
      </c>
      <c r="J39" s="113">
        <f>Table4[[#This Row],[total_cost_npr]]*(1/'Calculations &amp; Assumptions'!$C$6)</f>
        <v>674.5188606620477</v>
      </c>
      <c r="K39" s="113">
        <f>Table4[[#This Row],[system_cost_npr_per_kwp]]*(1/'Calculations &amp; Assumptions'!$C$6)</f>
        <v>168.62971516551193</v>
      </c>
      <c r="L39" s="23">
        <f>IF(Table4[[#This Row],[total_cost_inr]]&gt;0, Table4[[#This Row],[total_cost_inr]]*'Calculations &amp; Assumptions'!$C$7,IF(Table4[[#This Row],[total_cost_eur]]&gt;0,Table4[[#This Row],[total_cost_eur]]*'Calculations &amp; Assumptions'!$C$5,0))</f>
        <v>87620</v>
      </c>
      <c r="M39" s="77">
        <f>IF(H39="smartmeter_1ph",Table4[[#This Row],[total_cost_npr]],Table4[[#This Row],[total_cost_npr]]/Table4[[#This Row],[pv_kWp]])</f>
        <v>21905</v>
      </c>
      <c r="N39" s="3"/>
      <c r="O39" s="3">
        <f>Table4[[#This Row],[total_cost_inr]]/Table4[[#This Row],[pv_kWp]]</f>
        <v>0</v>
      </c>
      <c r="P39" s="3">
        <v>674</v>
      </c>
      <c r="Q39" s="3">
        <f>Table4[[#This Row],[total_cost_eur]]/Table4[[#This Row],[pv_kWp]]</f>
        <v>168.5</v>
      </c>
      <c r="R39" s="3"/>
      <c r="S39" s="3"/>
      <c r="T39" s="1">
        <v>4</v>
      </c>
      <c r="U39" s="3"/>
      <c r="V39" s="3"/>
      <c r="W39" s="3"/>
      <c r="X39" s="3"/>
      <c r="Y39" s="3"/>
      <c r="Z39" s="3"/>
      <c r="AA39" s="3"/>
      <c r="AB39" s="3">
        <v>4</v>
      </c>
      <c r="AC39" s="3"/>
      <c r="AD39" s="3"/>
      <c r="AE39" s="3"/>
      <c r="AF39" s="3"/>
      <c r="AG39" s="3"/>
      <c r="AH39" s="3"/>
      <c r="AI39" s="3"/>
      <c r="AJ39" s="3"/>
      <c r="AK39" s="3"/>
      <c r="AL39" s="3"/>
      <c r="AM39" s="3"/>
      <c r="AN39" s="3"/>
      <c r="AO39" s="3"/>
      <c r="AP39" s="3"/>
      <c r="AQ39" s="3"/>
      <c r="AR39" s="3"/>
      <c r="AS39" s="1"/>
      <c r="AT39" s="1"/>
      <c r="AU39" s="1"/>
      <c r="AV39" s="1"/>
      <c r="AW39" s="1"/>
      <c r="AX39" s="1"/>
      <c r="AY39" s="1"/>
      <c r="AZ39" s="1"/>
      <c r="BA39" s="1"/>
      <c r="BB39" s="1"/>
      <c r="BC39" s="1"/>
      <c r="BD39" s="1"/>
      <c r="BE39" s="1"/>
      <c r="BF39" s="1"/>
      <c r="BG39" s="1"/>
      <c r="BH39" s="1"/>
      <c r="BI39" s="1"/>
      <c r="BJ39" s="1"/>
      <c r="BK39" s="1"/>
    </row>
    <row r="40" spans="1:63" ht="16" thickBot="1" x14ac:dyDescent="0.25">
      <c r="A40" s="3">
        <v>39</v>
      </c>
      <c r="B40" s="28" t="s">
        <v>178</v>
      </c>
      <c r="C40" s="3" t="s">
        <v>543</v>
      </c>
      <c r="D40" s="3" t="s">
        <v>160</v>
      </c>
      <c r="E40" s="3"/>
      <c r="F40" s="3">
        <v>2022</v>
      </c>
      <c r="G40" s="3" t="s">
        <v>51</v>
      </c>
      <c r="H40" s="1" t="s">
        <v>92</v>
      </c>
      <c r="I40" s="81" t="s">
        <v>179</v>
      </c>
      <c r="J40" s="113">
        <f>Table4[[#This Row],[total_cost_npr]]*(1/'Calculations &amp; Assumptions'!$C$6)</f>
        <v>265.20400307929174</v>
      </c>
      <c r="K40" s="113">
        <f>Table4[[#This Row],[system_cost_npr_per_kwp]]*(1/'Calculations &amp; Assumptions'!$C$6)</f>
        <v>88.401334359763922</v>
      </c>
      <c r="L40" s="23">
        <f>IF(Table4[[#This Row],[total_cost_inr]]&gt;0, Table4[[#This Row],[total_cost_inr]]*'Calculations &amp; Assumptions'!$C$7,IF(Table4[[#This Row],[total_cost_eur]]&gt;0,Table4[[#This Row],[total_cost_eur]]*'Calculations &amp; Assumptions'!$C$5,0))</f>
        <v>34450</v>
      </c>
      <c r="M40" s="77">
        <f>IF(H40="smartmeter_1ph",Table4[[#This Row],[total_cost_npr]],Table4[[#This Row],[total_cost_npr]]/Table4[[#This Row],[pv_kWp]])</f>
        <v>11483.333333333334</v>
      </c>
      <c r="N40" s="3"/>
      <c r="O40" s="3">
        <f>Table4[[#This Row],[total_cost_inr]]/Table4[[#This Row],[pv_kWp]]</f>
        <v>0</v>
      </c>
      <c r="P40" s="3">
        <v>265</v>
      </c>
      <c r="Q40" s="3">
        <f>Table4[[#This Row],[total_cost_eur]]/Table4[[#This Row],[pv_kWp]]</f>
        <v>88.333333333333329</v>
      </c>
      <c r="R40" s="3"/>
      <c r="S40" s="3"/>
      <c r="T40" s="1">
        <v>3</v>
      </c>
      <c r="U40" s="3"/>
      <c r="V40" s="3"/>
      <c r="W40" s="3"/>
      <c r="X40" s="3"/>
      <c r="Y40" s="3"/>
      <c r="Z40" s="3"/>
      <c r="AA40" s="3"/>
      <c r="AB40" s="3">
        <v>3</v>
      </c>
      <c r="AC40" s="3"/>
      <c r="AD40" s="3"/>
      <c r="AE40" s="3"/>
      <c r="AF40" s="3"/>
      <c r="AG40" s="3"/>
      <c r="AH40" s="3"/>
      <c r="AI40" s="3"/>
      <c r="AJ40" s="3"/>
      <c r="AK40" s="3"/>
      <c r="AL40" s="3"/>
      <c r="AM40" s="3"/>
      <c r="AN40" s="3"/>
      <c r="AO40" s="3"/>
      <c r="AP40" s="3"/>
      <c r="AQ40" s="3"/>
      <c r="AR40" s="3"/>
      <c r="AS40" s="1"/>
      <c r="AT40" s="1"/>
      <c r="AU40" s="1"/>
      <c r="AV40" s="1"/>
      <c r="AW40" s="1"/>
      <c r="AX40" s="1"/>
      <c r="AY40" s="1"/>
      <c r="AZ40" s="1"/>
      <c r="BA40" s="1"/>
      <c r="BB40" s="1"/>
      <c r="BC40" s="1"/>
      <c r="BD40" s="1"/>
      <c r="BE40" s="1"/>
      <c r="BF40" s="1"/>
      <c r="BG40" s="1"/>
      <c r="BH40" s="1"/>
      <c r="BI40" s="1"/>
      <c r="BJ40" s="1"/>
      <c r="BK40" s="1"/>
    </row>
    <row r="41" spans="1:63" ht="16" thickBot="1" x14ac:dyDescent="0.25">
      <c r="A41" s="3">
        <v>40</v>
      </c>
      <c r="B41" s="26" t="s">
        <v>180</v>
      </c>
      <c r="C41" s="3" t="s">
        <v>543</v>
      </c>
      <c r="D41" s="3" t="s">
        <v>160</v>
      </c>
      <c r="E41" s="3"/>
      <c r="F41" s="3">
        <v>2022</v>
      </c>
      <c r="G41" s="3" t="s">
        <v>51</v>
      </c>
      <c r="H41" s="1" t="s">
        <v>92</v>
      </c>
      <c r="I41" s="26" t="s">
        <v>181</v>
      </c>
      <c r="J41" s="113">
        <f>Table4[[#This Row],[total_cost_npr]]*(1/'Calculations &amp; Assumptions'!$C$6)</f>
        <v>980.75442648190904</v>
      </c>
      <c r="K41" s="113">
        <f>Table4[[#This Row],[system_cost_npr_per_kwp]]*(1/'Calculations &amp; Assumptions'!$C$6)</f>
        <v>98.075442648190901</v>
      </c>
      <c r="L41" s="23">
        <f>IF(Table4[[#This Row],[total_cost_inr]]&gt;0, Table4[[#This Row],[total_cost_inr]]*'Calculations &amp; Assumptions'!$C$7,IF(Table4[[#This Row],[total_cost_eur]]&gt;0,Table4[[#This Row],[total_cost_eur]]*'Calculations &amp; Assumptions'!$C$5,0))</f>
        <v>127400</v>
      </c>
      <c r="M41" s="77">
        <f>IF(H41="smartmeter_1ph",Table4[[#This Row],[total_cost_npr]],Table4[[#This Row],[total_cost_npr]]/Table4[[#This Row],[pv_kWp]])</f>
        <v>12740</v>
      </c>
      <c r="N41" s="3"/>
      <c r="O41" s="3">
        <f>Table4[[#This Row],[total_cost_inr]]/Table4[[#This Row],[pv_kWp]]</f>
        <v>0</v>
      </c>
      <c r="P41" s="3">
        <v>980</v>
      </c>
      <c r="Q41" s="3">
        <f>Table4[[#This Row],[total_cost_eur]]/Table4[[#This Row],[pv_kWp]]</f>
        <v>98</v>
      </c>
      <c r="R41" s="3"/>
      <c r="S41" s="3"/>
      <c r="T41" s="1">
        <v>10</v>
      </c>
      <c r="U41" s="3"/>
      <c r="V41" s="3"/>
      <c r="W41" s="3"/>
      <c r="X41" s="3"/>
      <c r="Y41" s="3"/>
      <c r="Z41" s="3"/>
      <c r="AA41" s="3"/>
      <c r="AB41" s="3">
        <v>10</v>
      </c>
      <c r="AC41" s="3"/>
      <c r="AD41" s="3"/>
      <c r="AE41" s="3"/>
      <c r="AF41" s="3"/>
      <c r="AG41" s="3"/>
      <c r="AH41" s="3"/>
      <c r="AI41" s="3"/>
      <c r="AJ41" s="3"/>
      <c r="AK41" s="3"/>
      <c r="AL41" s="3"/>
      <c r="AM41" s="3"/>
      <c r="AN41" s="3"/>
      <c r="AO41" s="3"/>
      <c r="AP41" s="3"/>
      <c r="AQ41" s="3"/>
      <c r="AR41" s="3"/>
      <c r="AS41" s="1"/>
      <c r="AT41" s="1"/>
      <c r="AU41" s="1"/>
      <c r="AV41" s="1"/>
      <c r="AW41" s="1"/>
      <c r="AX41" s="1"/>
      <c r="AY41" s="1"/>
      <c r="AZ41" s="1"/>
      <c r="BA41" s="1"/>
      <c r="BB41" s="1"/>
      <c r="BC41" s="1"/>
      <c r="BD41" s="1"/>
      <c r="BE41" s="1"/>
      <c r="BF41" s="1"/>
      <c r="BG41" s="1"/>
      <c r="BH41" s="1"/>
      <c r="BI41" s="1"/>
      <c r="BJ41" s="1"/>
      <c r="BK41" s="1"/>
    </row>
    <row r="42" spans="1:63" ht="16" thickBot="1" x14ac:dyDescent="0.25">
      <c r="A42" s="3">
        <v>41</v>
      </c>
      <c r="B42" s="80" t="s">
        <v>182</v>
      </c>
      <c r="C42" s="3" t="s">
        <v>543</v>
      </c>
      <c r="D42" s="3" t="s">
        <v>40</v>
      </c>
      <c r="E42" s="3"/>
      <c r="F42" s="3">
        <v>2022</v>
      </c>
      <c r="G42" s="3" t="s">
        <v>51</v>
      </c>
      <c r="H42" s="1" t="s">
        <v>92</v>
      </c>
      <c r="I42" s="78" t="s">
        <v>183</v>
      </c>
      <c r="J42" s="113">
        <f>Table4[[#This Row],[total_cost_npr]]*(1/'Calculations &amp; Assumptions'!$C$6)</f>
        <v>71.439568899153187</v>
      </c>
      <c r="K42" s="113">
        <f>Table4[[#This Row],[system_cost_npr_per_kwp]]*(1/'Calculations &amp; Assumptions'!$C$6)</f>
        <v>49.610811735523043</v>
      </c>
      <c r="L42" s="23">
        <f>IF(Table4[[#This Row],[total_cost_inr]]&gt;0, Table4[[#This Row],[total_cost_inr]]*'Calculations &amp; Assumptions'!$C$7,IF(Table4[[#This Row],[total_cost_eur]]&gt;0,Table4[[#This Row],[total_cost_eur]]*'Calculations &amp; Assumptions'!$C$5,0))</f>
        <v>9280</v>
      </c>
      <c r="M42" s="77">
        <f>IF(H42="smartmeter_1ph",Table4[[#This Row],[total_cost_npr]],Table4[[#This Row],[total_cost_npr]]/Table4[[#This Row],[pv_kWp]])</f>
        <v>6444.4444444444443</v>
      </c>
      <c r="N42" s="79">
        <v>5800</v>
      </c>
      <c r="O42" s="3">
        <f>Table4[[#This Row],[total_cost_inr]]/Table4[[#This Row],[pv_kWp]]</f>
        <v>4027.7777777777778</v>
      </c>
      <c r="P42" s="3"/>
      <c r="Q42" s="3">
        <f>Table4[[#This Row],[total_cost_eur]]/Table4[[#This Row],[pv_kWp]]</f>
        <v>0</v>
      </c>
      <c r="R42" s="3"/>
      <c r="S42" s="3"/>
      <c r="T42" s="1">
        <f>12*120/1000</f>
        <v>1.44</v>
      </c>
      <c r="U42" s="3"/>
      <c r="V42" s="3"/>
      <c r="W42" s="3"/>
      <c r="X42" s="3"/>
      <c r="Y42" s="3"/>
      <c r="Z42" s="3"/>
      <c r="AA42" s="3"/>
      <c r="AB42" s="3">
        <f>12*120/1000</f>
        <v>1.44</v>
      </c>
      <c r="AC42" s="3"/>
      <c r="AD42" s="3"/>
      <c r="AE42" s="3"/>
      <c r="AF42" s="3"/>
      <c r="AG42" s="3"/>
      <c r="AH42" s="3"/>
      <c r="AI42" s="3"/>
      <c r="AJ42" s="3"/>
      <c r="AK42" s="3"/>
      <c r="AL42" s="3"/>
      <c r="AM42" s="3"/>
      <c r="AN42" s="3"/>
      <c r="AO42" s="3"/>
      <c r="AP42" s="3"/>
      <c r="AQ42" s="3"/>
      <c r="AR42" s="3"/>
      <c r="AS42" s="1"/>
      <c r="AT42" s="1"/>
      <c r="AU42" s="1"/>
      <c r="AV42" s="1"/>
      <c r="AW42" s="1"/>
      <c r="AX42" s="1"/>
      <c r="AY42" s="1"/>
      <c r="AZ42" s="1"/>
      <c r="BA42" s="1"/>
      <c r="BB42" s="1"/>
      <c r="BC42" s="1"/>
      <c r="BD42" s="1"/>
      <c r="BE42" s="1"/>
      <c r="BF42" s="1"/>
      <c r="BG42" s="1"/>
      <c r="BH42" s="1"/>
      <c r="BI42" s="1"/>
      <c r="BJ42" s="1"/>
      <c r="BK42" s="1"/>
    </row>
    <row r="43" spans="1:63" ht="16" thickBot="1" x14ac:dyDescent="0.25">
      <c r="A43" s="3">
        <v>42</v>
      </c>
      <c r="B43" s="29" t="s">
        <v>184</v>
      </c>
      <c r="C43" s="3" t="s">
        <v>543</v>
      </c>
      <c r="D43" s="3" t="s">
        <v>40</v>
      </c>
      <c r="E43" s="3"/>
      <c r="F43" s="3">
        <v>2022</v>
      </c>
      <c r="G43" s="3" t="s">
        <v>51</v>
      </c>
      <c r="H43" s="1" t="s">
        <v>92</v>
      </c>
      <c r="I43" s="78" t="s">
        <v>185</v>
      </c>
      <c r="J43" s="113">
        <f>Table4[[#This Row],[total_cost_npr]]*(1/'Calculations &amp; Assumptions'!$C$6)</f>
        <v>98.537336412625081</v>
      </c>
      <c r="K43" s="113">
        <f>Table4[[#This Row],[system_cost_npr_per_kwp]]*(1/'Calculations &amp; Assumptions'!$C$6)</f>
        <v>41.05722350526046</v>
      </c>
      <c r="L43" s="23">
        <f>IF(Table4[[#This Row],[total_cost_inr]]&gt;0, Table4[[#This Row],[total_cost_inr]]*'Calculations &amp; Assumptions'!$C$7,IF(Table4[[#This Row],[total_cost_eur]]&gt;0,Table4[[#This Row],[total_cost_eur]]*'Calculations &amp; Assumptions'!$C$5,0))</f>
        <v>12800</v>
      </c>
      <c r="M43" s="77">
        <f>IF(H43="smartmeter_1ph",Table4[[#This Row],[total_cost_npr]],Table4[[#This Row],[total_cost_npr]]/Table4[[#This Row],[pv_kWp]])</f>
        <v>5333.3333333333339</v>
      </c>
      <c r="N43" s="3">
        <v>8000</v>
      </c>
      <c r="O43" s="3">
        <f>Table4[[#This Row],[total_cost_inr]]/Table4[[#This Row],[pv_kWp]]</f>
        <v>3333.3333333333335</v>
      </c>
      <c r="P43" s="3"/>
      <c r="Q43" s="3">
        <f>Table4[[#This Row],[total_cost_eur]]/Table4[[#This Row],[pv_kWp]]</f>
        <v>0</v>
      </c>
      <c r="R43" s="3"/>
      <c r="S43" s="3"/>
      <c r="T43" s="1">
        <f>12*200/1000</f>
        <v>2.4</v>
      </c>
      <c r="U43" s="3"/>
      <c r="V43" s="3"/>
      <c r="W43" s="3"/>
      <c r="X43" s="3"/>
      <c r="Y43" s="3"/>
      <c r="Z43" s="3"/>
      <c r="AA43" s="3"/>
      <c r="AB43" s="3">
        <f>12*200/1000</f>
        <v>2.4</v>
      </c>
      <c r="AC43" s="3"/>
      <c r="AD43" s="3"/>
      <c r="AE43" s="3"/>
      <c r="AF43" s="3"/>
      <c r="AG43" s="3"/>
      <c r="AH43" s="3"/>
      <c r="AI43" s="3"/>
      <c r="AJ43" s="3"/>
      <c r="AK43" s="3"/>
      <c r="AL43" s="3"/>
      <c r="AM43" s="3"/>
      <c r="AN43" s="3"/>
      <c r="AO43" s="3"/>
      <c r="AP43" s="3"/>
      <c r="AQ43" s="3"/>
      <c r="AR43" s="3"/>
      <c r="AS43" s="1"/>
      <c r="AT43" s="1"/>
      <c r="AU43" s="1"/>
      <c r="AV43" s="1"/>
      <c r="AW43" s="1"/>
      <c r="AX43" s="1"/>
      <c r="AY43" s="1"/>
      <c r="AZ43" s="1"/>
      <c r="BA43" s="1"/>
      <c r="BB43" s="1"/>
      <c r="BC43" s="1"/>
      <c r="BD43" s="1"/>
      <c r="BE43" s="1"/>
      <c r="BF43" s="1"/>
      <c r="BG43" s="1"/>
      <c r="BH43" s="1"/>
      <c r="BI43" s="1"/>
      <c r="BJ43" s="1"/>
      <c r="BK43" s="1"/>
    </row>
    <row r="44" spans="1:63" ht="16" thickBot="1" x14ac:dyDescent="0.25">
      <c r="A44" s="3">
        <v>43</v>
      </c>
      <c r="B44" s="29" t="s">
        <v>186</v>
      </c>
      <c r="C44" s="3" t="s">
        <v>543</v>
      </c>
      <c r="D44" s="3" t="s">
        <v>40</v>
      </c>
      <c r="E44" s="3"/>
      <c r="F44" s="3">
        <v>2022</v>
      </c>
      <c r="G44" s="3" t="s">
        <v>51</v>
      </c>
      <c r="H44" s="1" t="s">
        <v>92</v>
      </c>
      <c r="I44" s="78" t="s">
        <v>187</v>
      </c>
      <c r="J44" s="113">
        <f>Table4[[#This Row],[total_cost_npr]]*(1/'Calculations &amp; Assumptions'!$C$6)</f>
        <v>166.28175519630483</v>
      </c>
      <c r="K44" s="113">
        <f>Table4[[#This Row],[system_cost_npr_per_kwp]]*(1/'Calculations &amp; Assumptions'!$C$6)</f>
        <v>55.42725173210161</v>
      </c>
      <c r="L44" s="23">
        <f>IF(Table4[[#This Row],[total_cost_inr]]&gt;0, Table4[[#This Row],[total_cost_inr]]*'Calculations &amp; Assumptions'!$C$7,IF(Table4[[#This Row],[total_cost_eur]]&gt;0,Table4[[#This Row],[total_cost_eur]]*'Calculations &amp; Assumptions'!$C$5,0))</f>
        <v>21600</v>
      </c>
      <c r="M44" s="77">
        <f>IF(H44="smartmeter_1ph",Table4[[#This Row],[total_cost_npr]],Table4[[#This Row],[total_cost_npr]]/Table4[[#This Row],[pv_kWp]])</f>
        <v>7200</v>
      </c>
      <c r="N44" s="3">
        <v>13500</v>
      </c>
      <c r="O44" s="3">
        <f>Table4[[#This Row],[total_cost_inr]]/Table4[[#This Row],[pv_kWp]]</f>
        <v>4500</v>
      </c>
      <c r="P44" s="3"/>
      <c r="Q44" s="3">
        <f>Table4[[#This Row],[total_cost_eur]]/Table4[[#This Row],[pv_kWp]]</f>
        <v>0</v>
      </c>
      <c r="R44" s="3"/>
      <c r="S44" s="3"/>
      <c r="T44" s="1">
        <f>12*250/1000</f>
        <v>3</v>
      </c>
      <c r="U44" s="3"/>
      <c r="V44" s="3"/>
      <c r="W44" s="3"/>
      <c r="X44" s="3"/>
      <c r="Y44" s="3"/>
      <c r="Z44" s="3"/>
      <c r="AA44" s="3"/>
      <c r="AB44" s="3">
        <f>12*250/1000</f>
        <v>3</v>
      </c>
      <c r="AC44" s="3"/>
      <c r="AD44" s="3"/>
      <c r="AE44" s="3"/>
      <c r="AF44" s="3"/>
      <c r="AG44" s="3"/>
      <c r="AH44" s="3"/>
      <c r="AI44" s="3"/>
      <c r="AJ44" s="3"/>
      <c r="AK44" s="3"/>
      <c r="AL44" s="3"/>
      <c r="AM44" s="3"/>
      <c r="AN44" s="3"/>
      <c r="AO44" s="3"/>
      <c r="AP44" s="3"/>
      <c r="AQ44" s="3"/>
      <c r="AR44" s="3"/>
      <c r="AS44" s="1"/>
      <c r="AT44" s="1"/>
      <c r="AU44" s="1"/>
      <c r="AV44" s="1"/>
      <c r="AW44" s="1"/>
      <c r="AX44" s="1"/>
      <c r="AY44" s="1"/>
      <c r="AZ44" s="1"/>
      <c r="BA44" s="1"/>
      <c r="BB44" s="1"/>
      <c r="BC44" s="1"/>
      <c r="BD44" s="1"/>
      <c r="BE44" s="1"/>
      <c r="BF44" s="1"/>
      <c r="BG44" s="1"/>
      <c r="BH44" s="1"/>
      <c r="BI44" s="1"/>
      <c r="BJ44" s="1"/>
      <c r="BK44" s="1"/>
    </row>
    <row r="45" spans="1:63" ht="16" thickBot="1" x14ac:dyDescent="0.25">
      <c r="A45" s="3">
        <v>44</v>
      </c>
      <c r="B45" s="29" t="s">
        <v>188</v>
      </c>
      <c r="C45" s="3" t="s">
        <v>543</v>
      </c>
      <c r="D45" s="3" t="s">
        <v>40</v>
      </c>
      <c r="E45" s="3"/>
      <c r="F45" s="3">
        <v>2022</v>
      </c>
      <c r="G45" s="3" t="s">
        <v>51</v>
      </c>
      <c r="H45" s="1" t="s">
        <v>92</v>
      </c>
      <c r="I45" s="78" t="s">
        <v>189</v>
      </c>
      <c r="J45" s="113">
        <f>Table4[[#This Row],[total_cost_npr]]*(1/'Calculations &amp; Assumptions'!$C$6)</f>
        <v>80.061585835257887</v>
      </c>
      <c r="K45" s="113">
        <f>Table4[[#This Row],[system_cost_npr_per_kwp]]*(1/'Calculations &amp; Assumptions'!$C$6)</f>
        <v>44.47865879736549</v>
      </c>
      <c r="L45" s="23">
        <f>IF(Table4[[#This Row],[total_cost_inr]]&gt;0, Table4[[#This Row],[total_cost_inr]]*'Calculations &amp; Assumptions'!$C$7,IF(Table4[[#This Row],[total_cost_eur]]&gt;0,Table4[[#This Row],[total_cost_eur]]*'Calculations &amp; Assumptions'!$C$5,0))</f>
        <v>10400</v>
      </c>
      <c r="M45" s="77">
        <f>IF(H45="smartmeter_1ph",Table4[[#This Row],[total_cost_npr]],Table4[[#This Row],[total_cost_npr]]/Table4[[#This Row],[pv_kWp]])</f>
        <v>5777.7777777777774</v>
      </c>
      <c r="N45" s="79">
        <v>6500</v>
      </c>
      <c r="O45" s="3">
        <f>Table4[[#This Row],[total_cost_inr]]/Table4[[#This Row],[pv_kWp]]</f>
        <v>3611.1111111111109</v>
      </c>
      <c r="P45" s="3"/>
      <c r="Q45" s="3">
        <f>Table4[[#This Row],[total_cost_eur]]/Table4[[#This Row],[pv_kWp]]</f>
        <v>0</v>
      </c>
      <c r="R45" s="3"/>
      <c r="S45" s="3"/>
      <c r="T45" s="1">
        <f>12*150/1000</f>
        <v>1.8</v>
      </c>
      <c r="U45" s="3"/>
      <c r="V45" s="3"/>
      <c r="W45" s="3"/>
      <c r="X45" s="3"/>
      <c r="Y45" s="3"/>
      <c r="Z45" s="3"/>
      <c r="AA45" s="3"/>
      <c r="AB45" s="3">
        <f>12*150/1000</f>
        <v>1.8</v>
      </c>
      <c r="AC45" s="3"/>
      <c r="AD45" s="3"/>
      <c r="AE45" s="3"/>
      <c r="AF45" s="3"/>
      <c r="AG45" s="3"/>
      <c r="AH45" s="3"/>
      <c r="AI45" s="3"/>
      <c r="AJ45" s="3"/>
      <c r="AK45" s="3"/>
      <c r="AL45" s="3"/>
      <c r="AM45" s="3"/>
      <c r="AN45" s="3"/>
      <c r="AO45" s="3"/>
      <c r="AP45" s="3"/>
      <c r="AQ45" s="3"/>
      <c r="AR45" s="3"/>
      <c r="AS45" s="1"/>
      <c r="AT45" s="1"/>
      <c r="AU45" s="1"/>
      <c r="AV45" s="1"/>
      <c r="AW45" s="1"/>
      <c r="AX45" s="1"/>
      <c r="AY45" s="1"/>
      <c r="AZ45" s="1"/>
      <c r="BA45" s="1"/>
      <c r="BB45" s="1"/>
      <c r="BC45" s="1"/>
      <c r="BD45" s="1"/>
      <c r="BE45" s="1"/>
      <c r="BF45" s="1"/>
      <c r="BG45" s="1"/>
      <c r="BH45" s="1"/>
      <c r="BI45" s="1"/>
      <c r="BJ45" s="1"/>
      <c r="BK45" s="1"/>
    </row>
    <row r="46" spans="1:63" ht="16" thickBot="1" x14ac:dyDescent="0.25">
      <c r="A46" s="3">
        <v>45</v>
      </c>
      <c r="B46" s="29" t="s">
        <v>190</v>
      </c>
      <c r="C46" s="3" t="s">
        <v>543</v>
      </c>
      <c r="D46" s="3" t="s">
        <v>40</v>
      </c>
      <c r="E46" s="3"/>
      <c r="F46" s="3">
        <v>2022</v>
      </c>
      <c r="G46" s="3" t="s">
        <v>51</v>
      </c>
      <c r="H46" s="1" t="s">
        <v>92</v>
      </c>
      <c r="I46" s="78" t="s">
        <v>191</v>
      </c>
      <c r="J46" s="113">
        <f>Table4[[#This Row],[total_cost_npr]]*(1/'Calculations &amp; Assumptions'!$C$6)</f>
        <v>169.36104695919937</v>
      </c>
      <c r="K46" s="113">
        <f>Table4[[#This Row],[system_cost_npr_per_kwp]]*(1/'Calculations &amp; Assumptions'!$C$6)</f>
        <v>94.089470532888541</v>
      </c>
      <c r="L46" s="23">
        <f>IF(Table4[[#This Row],[total_cost_inr]]&gt;0, Table4[[#This Row],[total_cost_inr]]*'Calculations &amp; Assumptions'!$C$7,IF(Table4[[#This Row],[total_cost_eur]]&gt;0,Table4[[#This Row],[total_cost_eur]]*'Calculations &amp; Assumptions'!$C$5,0))</f>
        <v>22000</v>
      </c>
      <c r="M46" s="77">
        <f>IF(H46="smartmeter_1ph",Table4[[#This Row],[total_cost_npr]],Table4[[#This Row],[total_cost_npr]]/Table4[[#This Row],[pv_kWp]])</f>
        <v>12222.222222222223</v>
      </c>
      <c r="N46" s="79">
        <v>13750</v>
      </c>
      <c r="O46" s="3">
        <f>Table4[[#This Row],[total_cost_inr]]/Table4[[#This Row],[pv_kWp]]</f>
        <v>7638.8888888888887</v>
      </c>
      <c r="P46" s="3"/>
      <c r="Q46" s="3">
        <f>Table4[[#This Row],[total_cost_eur]]/Table4[[#This Row],[pv_kWp]]</f>
        <v>0</v>
      </c>
      <c r="R46" s="3"/>
      <c r="S46" s="3"/>
      <c r="T46" s="1">
        <f>12*150/1000</f>
        <v>1.8</v>
      </c>
      <c r="U46" s="3"/>
      <c r="V46" s="3"/>
      <c r="W46" s="3"/>
      <c r="X46" s="3"/>
      <c r="Y46" s="3"/>
      <c r="Z46" s="3"/>
      <c r="AA46" s="3"/>
      <c r="AB46" s="3">
        <f>12*150/1000</f>
        <v>1.8</v>
      </c>
      <c r="AC46" s="3"/>
      <c r="AD46" s="3"/>
      <c r="AE46" s="3"/>
      <c r="AF46" s="3"/>
      <c r="AG46" s="3"/>
      <c r="AH46" s="3"/>
      <c r="AI46" s="3"/>
      <c r="AJ46" s="3"/>
      <c r="AK46" s="3"/>
      <c r="AL46" s="3"/>
      <c r="AM46" s="3"/>
      <c r="AN46" s="3"/>
      <c r="AO46" s="3"/>
      <c r="AP46" s="3"/>
      <c r="AQ46" s="3"/>
      <c r="AR46" s="3"/>
      <c r="AS46" s="1"/>
      <c r="AT46" s="1"/>
      <c r="AU46" s="1"/>
      <c r="AV46" s="1"/>
      <c r="AW46" s="1"/>
      <c r="AX46" s="1"/>
      <c r="AY46" s="1"/>
      <c r="AZ46" s="1"/>
      <c r="BA46" s="1"/>
      <c r="BB46" s="1"/>
      <c r="BC46" s="1"/>
      <c r="BD46" s="1"/>
      <c r="BE46" s="1"/>
      <c r="BF46" s="1"/>
      <c r="BG46" s="1"/>
      <c r="BH46" s="1"/>
      <c r="BI46" s="1"/>
      <c r="BJ46" s="1"/>
      <c r="BK46" s="1"/>
    </row>
    <row r="47" spans="1:63" ht="16" thickBot="1" x14ac:dyDescent="0.25">
      <c r="A47" s="3">
        <v>46</v>
      </c>
      <c r="B47" s="80" t="s">
        <v>192</v>
      </c>
      <c r="C47" s="3" t="s">
        <v>543</v>
      </c>
      <c r="D47" s="3" t="s">
        <v>160</v>
      </c>
      <c r="E47" s="3"/>
      <c r="F47" s="3">
        <v>2022</v>
      </c>
      <c r="G47" s="3" t="s">
        <v>51</v>
      </c>
      <c r="H47" s="1" t="s">
        <v>81</v>
      </c>
      <c r="I47" s="26" t="s">
        <v>193</v>
      </c>
      <c r="J47" s="113">
        <f>Table4[[#This Row],[total_cost_npr]]*(1/'Calculations &amp; Assumptions'!$C$6)</f>
        <v>582.44803695150108</v>
      </c>
      <c r="K47" s="113">
        <f>Table4[[#This Row],[system_cost_npr_per_kwp]]*(1/'Calculations &amp; Assumptions'!$C$6)</f>
        <v>97.07467282525019</v>
      </c>
      <c r="L47" s="23">
        <f>IF(Table4[[#This Row],[total_cost_inr]]&gt;0, Table4[[#This Row],[total_cost_inr]]*'Calculations &amp; Assumptions'!$C$7,IF(Table4[[#This Row],[total_cost_eur]]&gt;0,Table4[[#This Row],[total_cost_eur]]*'Calculations &amp; Assumptions'!$C$5,0))</f>
        <v>75660</v>
      </c>
      <c r="M47" s="77">
        <f>IF(H47="smartmeter_1ph",Table4[[#This Row],[total_cost_npr]],Table4[[#This Row],[total_cost_npr]]/Table4[[#This Row],[pv_kWp]])</f>
        <v>12610</v>
      </c>
      <c r="N47" s="3"/>
      <c r="O47" s="3">
        <f>Table4[[#This Row],[total_cost_inr]]/Table4[[#This Row],[pv_kWp]]</f>
        <v>0</v>
      </c>
      <c r="P47" s="3">
        <v>582</v>
      </c>
      <c r="Q47" s="3">
        <f>Table4[[#This Row],[total_cost_eur]]/Table4[[#This Row],[pv_kWp]]</f>
        <v>97</v>
      </c>
      <c r="R47" s="3"/>
      <c r="S47" s="3"/>
      <c r="T47" s="1">
        <v>6</v>
      </c>
      <c r="U47" s="3"/>
      <c r="V47" s="3"/>
      <c r="W47" s="3"/>
      <c r="X47" s="3"/>
      <c r="Y47" s="3"/>
      <c r="Z47" s="3">
        <v>6</v>
      </c>
      <c r="AA47" s="3"/>
      <c r="AB47" s="3"/>
      <c r="AC47" s="3"/>
      <c r="AD47" s="3"/>
      <c r="AE47" s="3"/>
      <c r="AF47" s="3"/>
      <c r="AG47" s="3"/>
      <c r="AH47" s="3"/>
      <c r="AI47" s="3"/>
      <c r="AJ47" s="3"/>
      <c r="AK47" s="3"/>
      <c r="AL47" s="3"/>
      <c r="AM47" s="3"/>
      <c r="AN47" s="3"/>
      <c r="AO47" s="3"/>
      <c r="AP47" s="3"/>
      <c r="AQ47" s="3"/>
      <c r="AR47" s="3"/>
      <c r="AS47" s="1"/>
      <c r="AT47" s="1"/>
      <c r="AU47" s="1"/>
      <c r="AV47" s="1"/>
      <c r="AW47" s="1"/>
      <c r="AX47" s="1"/>
      <c r="AY47" s="1"/>
      <c r="AZ47" s="1"/>
      <c r="BA47" s="1"/>
      <c r="BB47" s="1"/>
      <c r="BC47" s="1"/>
      <c r="BD47" s="1"/>
      <c r="BE47" s="1"/>
      <c r="BF47" s="1"/>
      <c r="BG47" s="1"/>
      <c r="BH47" s="1"/>
      <c r="BI47" s="1"/>
      <c r="BJ47" s="1"/>
      <c r="BK47" s="1"/>
    </row>
    <row r="48" spans="1:63" ht="16" thickBot="1" x14ac:dyDescent="0.25">
      <c r="A48" s="3">
        <v>47</v>
      </c>
      <c r="B48" s="80" t="s">
        <v>194</v>
      </c>
      <c r="C48" s="3" t="s">
        <v>543</v>
      </c>
      <c r="D48" s="3" t="s">
        <v>160</v>
      </c>
      <c r="E48" s="3"/>
      <c r="F48" s="3">
        <v>2022</v>
      </c>
      <c r="G48" s="3" t="s">
        <v>51</v>
      </c>
      <c r="H48" s="1" t="s">
        <v>81</v>
      </c>
      <c r="I48" s="26" t="s">
        <v>195</v>
      </c>
      <c r="J48" s="113">
        <f>Table4[[#This Row],[total_cost_npr]]*(1/'Calculations &amp; Assumptions'!$C$6)</f>
        <v>88.067744418783676</v>
      </c>
      <c r="K48" s="113">
        <f>Table4[[#This Row],[system_cost_npr_per_kwp]]*(1/'Calculations &amp; Assumptions'!$C$6)</f>
        <v>88.067744418783676</v>
      </c>
      <c r="L48" s="23">
        <f>IF(Table4[[#This Row],[total_cost_inr]]&gt;0, Table4[[#This Row],[total_cost_inr]]*'Calculations &amp; Assumptions'!$C$7,IF(Table4[[#This Row],[total_cost_eur]]&gt;0,Table4[[#This Row],[total_cost_eur]]*'Calculations &amp; Assumptions'!$C$5,0))</f>
        <v>11440</v>
      </c>
      <c r="M48" s="77">
        <f>IF(H48="smartmeter_1ph",Table4[[#This Row],[total_cost_npr]],Table4[[#This Row],[total_cost_npr]]/Table4[[#This Row],[pv_kWp]])</f>
        <v>11440</v>
      </c>
      <c r="N48" s="3"/>
      <c r="O48" s="3">
        <f>Table4[[#This Row],[total_cost_inr]]/Table4[[#This Row],[pv_kWp]]</f>
        <v>0</v>
      </c>
      <c r="P48" s="3">
        <v>88</v>
      </c>
      <c r="Q48" s="3">
        <f>Table4[[#This Row],[total_cost_eur]]/Table4[[#This Row],[pv_kWp]]</f>
        <v>88</v>
      </c>
      <c r="R48" s="3"/>
      <c r="S48" s="3"/>
      <c r="T48" s="1">
        <v>1</v>
      </c>
      <c r="U48" s="3"/>
      <c r="V48" s="3"/>
      <c r="W48" s="3"/>
      <c r="X48" s="3"/>
      <c r="Y48" s="3"/>
      <c r="Z48" s="3">
        <v>1</v>
      </c>
      <c r="AA48" s="3"/>
      <c r="AB48" s="3"/>
      <c r="AC48" s="3"/>
      <c r="AD48" s="3"/>
      <c r="AE48" s="3"/>
      <c r="AF48" s="3"/>
      <c r="AG48" s="3"/>
      <c r="AH48" s="3"/>
      <c r="AI48" s="3"/>
      <c r="AJ48" s="3"/>
      <c r="AK48" s="3"/>
      <c r="AL48" s="3"/>
      <c r="AM48" s="3"/>
      <c r="AN48" s="3"/>
      <c r="AO48" s="3"/>
      <c r="AP48" s="3"/>
      <c r="AQ48" s="3"/>
      <c r="AR48" s="3"/>
      <c r="AS48" s="1"/>
      <c r="AT48" s="1"/>
      <c r="AU48" s="1"/>
      <c r="AV48" s="1"/>
      <c r="AW48" s="1"/>
      <c r="AX48" s="1"/>
      <c r="AY48" s="1"/>
      <c r="AZ48" s="1"/>
      <c r="BA48" s="1"/>
      <c r="BB48" s="1"/>
      <c r="BC48" s="1"/>
      <c r="BD48" s="1"/>
      <c r="BE48" s="1"/>
      <c r="BF48" s="1"/>
      <c r="BG48" s="1"/>
      <c r="BH48" s="1"/>
      <c r="BI48" s="1"/>
      <c r="BJ48" s="1"/>
      <c r="BK48" s="1"/>
    </row>
    <row r="49" spans="1:63" ht="16" thickBot="1" x14ac:dyDescent="0.25">
      <c r="A49" s="3">
        <v>48</v>
      </c>
      <c r="B49" s="78" t="s">
        <v>196</v>
      </c>
      <c r="C49" s="3" t="s">
        <v>543</v>
      </c>
      <c r="D49" s="3" t="s">
        <v>160</v>
      </c>
      <c r="E49" s="3"/>
      <c r="F49" s="3">
        <v>2022</v>
      </c>
      <c r="G49" s="3" t="s">
        <v>51</v>
      </c>
      <c r="H49" s="1" t="s">
        <v>81</v>
      </c>
      <c r="I49" s="26" t="s">
        <v>197</v>
      </c>
      <c r="J49" s="113">
        <f>Table4[[#This Row],[total_cost_npr]]*(1/'Calculations &amp; Assumptions'!$C$6)</f>
        <v>48.036951501154732</v>
      </c>
      <c r="K49" s="113">
        <f>Table4[[#This Row],[system_cost_npr_per_kwp]]*(1/'Calculations &amp; Assumptions'!$C$6)</f>
        <v>96.073903002309464</v>
      </c>
      <c r="L49" s="23">
        <f>IF(Table4[[#This Row],[total_cost_inr]]&gt;0, Table4[[#This Row],[total_cost_inr]]*'Calculations &amp; Assumptions'!$C$7,IF(Table4[[#This Row],[total_cost_eur]]&gt;0,Table4[[#This Row],[total_cost_eur]]*'Calculations &amp; Assumptions'!$C$5,0))</f>
        <v>6240</v>
      </c>
      <c r="M49" s="77">
        <f>IF(H49="smartmeter_1ph",Table4[[#This Row],[total_cost_npr]],Table4[[#This Row],[total_cost_npr]]/Table4[[#This Row],[pv_kWp]])</f>
        <v>12480</v>
      </c>
      <c r="N49" s="3"/>
      <c r="O49" s="3">
        <f>Table4[[#This Row],[total_cost_inr]]/Table4[[#This Row],[pv_kWp]]</f>
        <v>0</v>
      </c>
      <c r="P49" s="3">
        <v>48</v>
      </c>
      <c r="Q49" s="3">
        <f>Table4[[#This Row],[total_cost_eur]]/Table4[[#This Row],[pv_kWp]]</f>
        <v>96</v>
      </c>
      <c r="R49" s="3"/>
      <c r="S49" s="3"/>
      <c r="T49" s="1">
        <v>0.5</v>
      </c>
      <c r="U49" s="3"/>
      <c r="V49" s="3"/>
      <c r="W49" s="3"/>
      <c r="X49" s="3"/>
      <c r="Y49" s="3"/>
      <c r="Z49" s="3">
        <v>0.5</v>
      </c>
      <c r="AA49" s="3"/>
      <c r="AB49" s="3"/>
      <c r="AC49" s="3"/>
      <c r="AD49" s="3"/>
      <c r="AE49" s="3"/>
      <c r="AF49" s="3"/>
      <c r="AG49" s="3"/>
      <c r="AH49" s="3"/>
      <c r="AI49" s="3"/>
      <c r="AJ49" s="3"/>
      <c r="AK49" s="3"/>
      <c r="AL49" s="3"/>
      <c r="AM49" s="3"/>
      <c r="AN49" s="3"/>
      <c r="AO49" s="3"/>
      <c r="AP49" s="3"/>
      <c r="AQ49" s="3"/>
      <c r="AR49" s="3"/>
      <c r="AS49" s="1"/>
      <c r="AT49" s="1"/>
      <c r="AU49" s="1"/>
      <c r="AV49" s="1"/>
      <c r="AW49" s="1"/>
      <c r="AX49" s="1"/>
      <c r="AY49" s="1"/>
      <c r="AZ49" s="1"/>
      <c r="BA49" s="1"/>
      <c r="BB49" s="1"/>
      <c r="BC49" s="1"/>
      <c r="BD49" s="1"/>
      <c r="BE49" s="1"/>
      <c r="BF49" s="1"/>
      <c r="BG49" s="1"/>
      <c r="BH49" s="1"/>
      <c r="BI49" s="1"/>
      <c r="BJ49" s="1"/>
      <c r="BK49" s="1"/>
    </row>
    <row r="50" spans="1:63" ht="16" thickBot="1" x14ac:dyDescent="0.25">
      <c r="A50" s="3">
        <v>49</v>
      </c>
      <c r="B50" s="80" t="s">
        <v>198</v>
      </c>
      <c r="C50" s="3" t="s">
        <v>543</v>
      </c>
      <c r="D50" s="3" t="s">
        <v>160</v>
      </c>
      <c r="E50" s="3"/>
      <c r="F50" s="3">
        <v>2022</v>
      </c>
      <c r="G50" s="3" t="s">
        <v>51</v>
      </c>
      <c r="H50" s="1" t="s">
        <v>81</v>
      </c>
      <c r="I50" s="26" t="s">
        <v>199</v>
      </c>
      <c r="J50" s="113">
        <f>Table4[[#This Row],[total_cost_npr]]*(1/'Calculations &amp; Assumptions'!$C$6)</f>
        <v>1100.846805234796</v>
      </c>
      <c r="K50" s="113">
        <f>Table4[[#This Row],[system_cost_npr_per_kwp]]*(1/'Calculations &amp; Assumptions'!$C$6)</f>
        <v>110.08468052347959</v>
      </c>
      <c r="L50" s="23">
        <f>IF(Table4[[#This Row],[total_cost_inr]]&gt;0, Table4[[#This Row],[total_cost_inr]]*'Calculations &amp; Assumptions'!$C$7,IF(Table4[[#This Row],[total_cost_eur]]&gt;0,Table4[[#This Row],[total_cost_eur]]*'Calculations &amp; Assumptions'!$C$5,0))</f>
        <v>143000</v>
      </c>
      <c r="M50" s="77">
        <f>IF(H50="smartmeter_1ph",Table4[[#This Row],[total_cost_npr]],Table4[[#This Row],[total_cost_npr]]/Table4[[#This Row],[pv_kWp]])</f>
        <v>14300</v>
      </c>
      <c r="N50" s="3"/>
      <c r="O50" s="3">
        <f>Table4[[#This Row],[total_cost_inr]]/Table4[[#This Row],[pv_kWp]]</f>
        <v>0</v>
      </c>
      <c r="P50" s="3">
        <v>1100</v>
      </c>
      <c r="Q50" s="3">
        <f>Table4[[#This Row],[total_cost_eur]]/Table4[[#This Row],[pv_kWp]]</f>
        <v>110</v>
      </c>
      <c r="R50" s="3"/>
      <c r="S50" s="3"/>
      <c r="T50" s="1">
        <v>10</v>
      </c>
      <c r="U50" s="3"/>
      <c r="V50" s="3"/>
      <c r="W50" s="3"/>
      <c r="X50" s="3"/>
      <c r="Y50" s="3"/>
      <c r="Z50" s="3">
        <v>10</v>
      </c>
      <c r="AA50" s="3"/>
      <c r="AB50" s="3"/>
      <c r="AC50" s="3"/>
      <c r="AD50" s="3"/>
      <c r="AE50" s="3"/>
      <c r="AF50" s="3"/>
      <c r="AG50" s="3"/>
      <c r="AH50" s="3"/>
      <c r="AI50" s="3"/>
      <c r="AJ50" s="3"/>
      <c r="AK50" s="3"/>
      <c r="AL50" s="3"/>
      <c r="AM50" s="3"/>
      <c r="AN50" s="3"/>
      <c r="AO50" s="3"/>
      <c r="AP50" s="3"/>
      <c r="AQ50" s="3"/>
      <c r="AR50" s="3"/>
      <c r="AS50" s="1"/>
      <c r="AT50" s="1"/>
      <c r="AU50" s="1"/>
      <c r="AV50" s="1"/>
      <c r="AW50" s="1"/>
      <c r="AX50" s="1"/>
      <c r="AY50" s="1"/>
      <c r="AZ50" s="1"/>
      <c r="BA50" s="1"/>
      <c r="BB50" s="1"/>
      <c r="BC50" s="1"/>
      <c r="BD50" s="1"/>
      <c r="BE50" s="1"/>
      <c r="BF50" s="1"/>
      <c r="BG50" s="1"/>
      <c r="BH50" s="1"/>
      <c r="BI50" s="1"/>
      <c r="BJ50" s="1"/>
      <c r="BK50" s="1"/>
    </row>
    <row r="51" spans="1:63" ht="16" thickBot="1" x14ac:dyDescent="0.25">
      <c r="A51" s="3">
        <v>50</v>
      </c>
      <c r="B51" s="80" t="s">
        <v>200</v>
      </c>
      <c r="C51" s="3" t="s">
        <v>543</v>
      </c>
      <c r="D51" s="3" t="s">
        <v>160</v>
      </c>
      <c r="E51" s="3"/>
      <c r="F51" s="3">
        <v>2022</v>
      </c>
      <c r="G51" s="3" t="s">
        <v>51</v>
      </c>
      <c r="H51" s="1" t="s">
        <v>81</v>
      </c>
      <c r="I51" s="26" t="s">
        <v>201</v>
      </c>
      <c r="J51" s="113">
        <f>Table4[[#This Row],[total_cost_npr]]*(1/'Calculations &amp; Assumptions'!$C$6)</f>
        <v>550.42340261739798</v>
      </c>
      <c r="K51" s="113">
        <f>Table4[[#This Row],[system_cost_npr_per_kwp]]*(1/'Calculations &amp; Assumptions'!$C$6)</f>
        <v>157.26382931925656</v>
      </c>
      <c r="L51" s="23">
        <f>IF(Table4[[#This Row],[total_cost_inr]]&gt;0, Table4[[#This Row],[total_cost_inr]]*'Calculations &amp; Assumptions'!$C$7,IF(Table4[[#This Row],[total_cost_eur]]&gt;0,Table4[[#This Row],[total_cost_eur]]*'Calculations &amp; Assumptions'!$C$5,0))</f>
        <v>71500</v>
      </c>
      <c r="M51" s="77">
        <f>IF(H51="smartmeter_1ph",Table4[[#This Row],[total_cost_npr]],Table4[[#This Row],[total_cost_npr]]/Table4[[#This Row],[pv_kWp]])</f>
        <v>20428.571428571428</v>
      </c>
      <c r="N51" s="3"/>
      <c r="O51" s="3">
        <f>Table4[[#This Row],[total_cost_inr]]/Table4[[#This Row],[pv_kWp]]</f>
        <v>0</v>
      </c>
      <c r="P51" s="3">
        <v>550</v>
      </c>
      <c r="Q51" s="3">
        <f>Table4[[#This Row],[total_cost_eur]]/Table4[[#This Row],[pv_kWp]]</f>
        <v>157.14285714285714</v>
      </c>
      <c r="R51" s="3"/>
      <c r="S51" s="3"/>
      <c r="T51" s="1">
        <v>3.5</v>
      </c>
      <c r="U51" s="3"/>
      <c r="V51" s="3"/>
      <c r="W51" s="3"/>
      <c r="X51" s="3"/>
      <c r="Y51" s="3"/>
      <c r="Z51" s="3">
        <v>3.5</v>
      </c>
      <c r="AA51" s="3"/>
      <c r="AB51" s="3"/>
      <c r="AC51" s="3"/>
      <c r="AD51" s="3"/>
      <c r="AE51" s="3"/>
      <c r="AF51" s="3"/>
      <c r="AG51" s="3"/>
      <c r="AH51" s="3"/>
      <c r="AI51" s="3"/>
      <c r="AJ51" s="3"/>
      <c r="AK51" s="3"/>
      <c r="AL51" s="3"/>
      <c r="AM51" s="3"/>
      <c r="AN51" s="3"/>
      <c r="AO51" s="3"/>
      <c r="AP51" s="3"/>
      <c r="AQ51" s="3"/>
      <c r="AR51" s="3"/>
      <c r="AS51" s="1"/>
      <c r="AT51" s="1"/>
      <c r="AU51" s="1"/>
      <c r="AV51" s="1"/>
      <c r="AW51" s="1"/>
      <c r="AX51" s="1"/>
      <c r="AY51" s="1"/>
      <c r="AZ51" s="1"/>
      <c r="BA51" s="1"/>
      <c r="BB51" s="1"/>
      <c r="BC51" s="1"/>
      <c r="BD51" s="1"/>
      <c r="BE51" s="1"/>
      <c r="BF51" s="1"/>
      <c r="BG51" s="1"/>
      <c r="BH51" s="1"/>
      <c r="BI51" s="1"/>
      <c r="BJ51" s="1"/>
      <c r="BK51" s="1"/>
    </row>
    <row r="52" spans="1:63" ht="16" thickBot="1" x14ac:dyDescent="0.25">
      <c r="A52" s="3">
        <v>51</v>
      </c>
      <c r="B52" s="78" t="s">
        <v>202</v>
      </c>
      <c r="C52" s="3" t="s">
        <v>543</v>
      </c>
      <c r="D52" s="3" t="s">
        <v>160</v>
      </c>
      <c r="E52" s="3"/>
      <c r="F52" s="3">
        <v>2022</v>
      </c>
      <c r="G52" s="3" t="s">
        <v>51</v>
      </c>
      <c r="H52" s="1" t="s">
        <v>113</v>
      </c>
      <c r="I52" s="78" t="s">
        <v>203</v>
      </c>
      <c r="J52" s="113">
        <f>Table4[[#This Row],[total_cost_npr]]*(1/'Calculations &amp; Assumptions'!$C$6)</f>
        <v>145.11162432640492</v>
      </c>
      <c r="K52" s="113">
        <f>Table4[[#This Row],[system_cost_npr_per_kwp]]*(1/'Calculations &amp; Assumptions'!$C$6)</f>
        <v>60.46317680266872</v>
      </c>
      <c r="L52" s="23">
        <f>IF(Table4[[#This Row],[total_cost_inr]]&gt;0, Table4[[#This Row],[total_cost_inr]]*'Calculations &amp; Assumptions'!$C$7,IF(Table4[[#This Row],[total_cost_eur]]&gt;0,Table4[[#This Row],[total_cost_eur]]*'Calculations &amp; Assumptions'!$C$5,0))</f>
        <v>18850</v>
      </c>
      <c r="M52" s="77">
        <f>IF(H52="smartmeter_1ph",Table4[[#This Row],[total_cost_npr]],Table4[[#This Row],[total_cost_npr]]/Table4[[#This Row],[pv_kWp]])</f>
        <v>7854.166666666667</v>
      </c>
      <c r="N52" s="3"/>
      <c r="O52" s="3">
        <f>Table4[[#This Row],[total_cost_inr]]/Table4[[#This Row],[pv_kWp]]</f>
        <v>0</v>
      </c>
      <c r="P52" s="3">
        <v>145</v>
      </c>
      <c r="Q52" s="3">
        <f>Table4[[#This Row],[total_cost_eur]]/Table4[[#This Row],[pv_kWp]]</f>
        <v>60.416666666666671</v>
      </c>
      <c r="R52" s="3"/>
      <c r="S52" s="3"/>
      <c r="T52" s="1">
        <f>(12*200/1000)</f>
        <v>2.4</v>
      </c>
      <c r="U52" s="3"/>
      <c r="V52" s="3"/>
      <c r="W52" s="3"/>
      <c r="X52" s="3"/>
      <c r="Y52" s="3"/>
      <c r="Z52" s="3"/>
      <c r="AA52" s="3"/>
      <c r="AB52" s="3"/>
      <c r="AC52" s="3"/>
      <c r="AD52" s="3">
        <f>(12*200/1000)</f>
        <v>2.4</v>
      </c>
      <c r="AE52" s="3"/>
      <c r="AF52" s="3"/>
      <c r="AG52" s="3"/>
      <c r="AH52" s="3"/>
      <c r="AI52" s="3"/>
      <c r="AJ52" s="3"/>
      <c r="AK52" s="3"/>
      <c r="AL52" s="3"/>
      <c r="AM52" s="3"/>
      <c r="AN52" s="3"/>
      <c r="AO52" s="3"/>
      <c r="AP52" s="3"/>
      <c r="AQ52" s="3"/>
      <c r="AR52" s="3"/>
      <c r="AS52" s="1"/>
      <c r="AT52" s="1"/>
      <c r="AU52" s="1"/>
      <c r="AV52" s="1"/>
      <c r="AW52" s="1"/>
      <c r="AX52" s="1"/>
      <c r="AY52" s="1"/>
      <c r="AZ52" s="1"/>
      <c r="BA52" s="1"/>
      <c r="BB52" s="1"/>
      <c r="BC52" s="1"/>
      <c r="BD52" s="1"/>
      <c r="BE52" s="1"/>
      <c r="BF52" s="1"/>
      <c r="BG52" s="1"/>
      <c r="BH52" s="1"/>
      <c r="BI52" s="1"/>
      <c r="BJ52" s="1"/>
      <c r="BK52" s="1"/>
    </row>
    <row r="53" spans="1:63" ht="16" thickBot="1" x14ac:dyDescent="0.25">
      <c r="A53" s="3">
        <v>52</v>
      </c>
      <c r="B53" s="78" t="s">
        <v>204</v>
      </c>
      <c r="C53" s="3" t="s">
        <v>543</v>
      </c>
      <c r="D53" s="3" t="s">
        <v>160</v>
      </c>
      <c r="E53" s="3"/>
      <c r="F53" s="3">
        <v>2022</v>
      </c>
      <c r="G53" s="3" t="s">
        <v>51</v>
      </c>
      <c r="H53" s="1" t="s">
        <v>113</v>
      </c>
      <c r="I53" s="78" t="s">
        <v>205</v>
      </c>
      <c r="J53" s="113">
        <f>Table4[[#This Row],[total_cost_npr]]*(1/'Calculations &amp; Assumptions'!$C$6)</f>
        <v>220.16936104695918</v>
      </c>
      <c r="K53" s="113">
        <f>Table4[[#This Row],[system_cost_npr_per_kwp]]*(1/'Calculations &amp; Assumptions'!$C$6)</f>
        <v>183.47446753913266</v>
      </c>
      <c r="L53" s="23">
        <f>IF(Table4[[#This Row],[total_cost_inr]]&gt;0, Table4[[#This Row],[total_cost_inr]]*'Calculations &amp; Assumptions'!$C$7,IF(Table4[[#This Row],[total_cost_eur]]&gt;0,Table4[[#This Row],[total_cost_eur]]*'Calculations &amp; Assumptions'!$C$5,0))</f>
        <v>28600</v>
      </c>
      <c r="M53" s="77">
        <f>IF(H53="smartmeter_1ph",Table4[[#This Row],[total_cost_npr]],Table4[[#This Row],[total_cost_npr]]/Table4[[#This Row],[pv_kWp]])</f>
        <v>23833.333333333336</v>
      </c>
      <c r="N53" s="3"/>
      <c r="O53" s="3">
        <f>Table4[[#This Row],[total_cost_inr]]/Table4[[#This Row],[pv_kWp]]</f>
        <v>0</v>
      </c>
      <c r="P53" s="3">
        <v>220</v>
      </c>
      <c r="Q53" s="3">
        <f>Table4[[#This Row],[total_cost_eur]]/Table4[[#This Row],[pv_kWp]]</f>
        <v>183.33333333333334</v>
      </c>
      <c r="R53" s="3"/>
      <c r="S53" s="3"/>
      <c r="T53" s="1">
        <f>(12*100/1000)</f>
        <v>1.2</v>
      </c>
      <c r="U53" s="3"/>
      <c r="V53" s="3"/>
      <c r="W53" s="3"/>
      <c r="X53" s="3"/>
      <c r="Y53" s="3"/>
      <c r="Z53" s="3"/>
      <c r="AA53" s="3"/>
      <c r="AB53" s="3"/>
      <c r="AC53" s="3"/>
      <c r="AD53" s="3">
        <f>(12*100/1000)</f>
        <v>1.2</v>
      </c>
      <c r="AE53" s="3"/>
      <c r="AF53" s="3"/>
      <c r="AG53" s="3"/>
      <c r="AH53" s="3"/>
      <c r="AI53" s="3"/>
      <c r="AJ53" s="3"/>
      <c r="AK53" s="3"/>
      <c r="AL53" s="3"/>
      <c r="AM53" s="3"/>
      <c r="AN53" s="3"/>
      <c r="AO53" s="3"/>
      <c r="AP53" s="3"/>
      <c r="AQ53" s="3"/>
      <c r="AR53" s="3"/>
      <c r="AS53" s="1"/>
      <c r="AT53" s="1"/>
      <c r="AU53" s="1"/>
      <c r="AV53" s="1"/>
      <c r="AW53" s="1"/>
      <c r="AX53" s="1"/>
      <c r="AY53" s="1"/>
      <c r="AZ53" s="1"/>
      <c r="BA53" s="1"/>
      <c r="BB53" s="1"/>
      <c r="BC53" s="1"/>
      <c r="BD53" s="1"/>
      <c r="BE53" s="1"/>
      <c r="BF53" s="1"/>
      <c r="BG53" s="1"/>
      <c r="BH53" s="1"/>
      <c r="BI53" s="1"/>
      <c r="BJ53" s="1"/>
      <c r="BK53" s="1"/>
    </row>
    <row r="54" spans="1:63" ht="16" thickBot="1" x14ac:dyDescent="0.25">
      <c r="A54" s="3">
        <v>53</v>
      </c>
      <c r="B54" s="78" t="s">
        <v>206</v>
      </c>
      <c r="C54" s="3" t="s">
        <v>543</v>
      </c>
      <c r="D54" s="3" t="s">
        <v>160</v>
      </c>
      <c r="E54" s="3"/>
      <c r="F54" s="3">
        <v>2022</v>
      </c>
      <c r="G54" s="3" t="s">
        <v>51</v>
      </c>
      <c r="H54" s="1" t="s">
        <v>113</v>
      </c>
      <c r="I54" s="78" t="s">
        <v>207</v>
      </c>
      <c r="J54" s="113">
        <f>Table4[[#This Row],[total_cost_npr]]*(1/'Calculations &amp; Assumptions'!$C$6)</f>
        <v>250.19245573518089</v>
      </c>
      <c r="K54" s="113">
        <f>Table4[[#This Row],[system_cost_npr_per_kwp]]*(1/'Calculations &amp; Assumptions'!$C$6)</f>
        <v>104.24685655632538</v>
      </c>
      <c r="L54" s="23">
        <f>IF(Table4[[#This Row],[total_cost_inr]]&gt;0, Table4[[#This Row],[total_cost_inr]]*'Calculations &amp; Assumptions'!$C$7,IF(Table4[[#This Row],[total_cost_eur]]&gt;0,Table4[[#This Row],[total_cost_eur]]*'Calculations &amp; Assumptions'!$C$5,0))</f>
        <v>32500</v>
      </c>
      <c r="M54" s="77">
        <f>IF(H54="smartmeter_1ph",Table4[[#This Row],[total_cost_npr]],Table4[[#This Row],[total_cost_npr]]/Table4[[#This Row],[pv_kWp]])</f>
        <v>13541.666666666668</v>
      </c>
      <c r="N54" s="3"/>
      <c r="O54" s="3">
        <f>Table4[[#This Row],[total_cost_inr]]/Table4[[#This Row],[pv_kWp]]</f>
        <v>0</v>
      </c>
      <c r="P54" s="3">
        <v>250</v>
      </c>
      <c r="Q54" s="3">
        <f>Table4[[#This Row],[total_cost_eur]]/Table4[[#This Row],[pv_kWp]]</f>
        <v>104.16666666666667</v>
      </c>
      <c r="R54" s="3"/>
      <c r="S54" s="3"/>
      <c r="T54" s="1">
        <f>(12*200/1000)</f>
        <v>2.4</v>
      </c>
      <c r="U54" s="3"/>
      <c r="V54" s="3"/>
      <c r="W54" s="3"/>
      <c r="X54" s="3"/>
      <c r="Y54" s="3"/>
      <c r="Z54" s="3"/>
      <c r="AA54" s="3"/>
      <c r="AB54" s="3"/>
      <c r="AC54" s="3"/>
      <c r="AD54" s="3">
        <f>(12*200/1000)</f>
        <v>2.4</v>
      </c>
      <c r="AE54" s="3"/>
      <c r="AF54" s="3"/>
      <c r="AG54" s="3"/>
      <c r="AH54" s="3"/>
      <c r="AI54" s="3"/>
      <c r="AJ54" s="3"/>
      <c r="AK54" s="3"/>
      <c r="AL54" s="3"/>
      <c r="AM54" s="3"/>
      <c r="AN54" s="3"/>
      <c r="AO54" s="3"/>
      <c r="AP54" s="3"/>
      <c r="AQ54" s="3"/>
      <c r="AR54" s="3"/>
      <c r="AS54" s="1"/>
      <c r="AT54" s="1"/>
      <c r="AU54" s="1"/>
      <c r="AV54" s="1"/>
      <c r="AW54" s="1"/>
      <c r="AX54" s="1"/>
      <c r="AY54" s="1"/>
      <c r="AZ54" s="1"/>
      <c r="BA54" s="1"/>
      <c r="BB54" s="1"/>
      <c r="BC54" s="1"/>
      <c r="BD54" s="1"/>
      <c r="BE54" s="1"/>
      <c r="BF54" s="1"/>
      <c r="BG54" s="1"/>
      <c r="BH54" s="1"/>
      <c r="BI54" s="1"/>
      <c r="BJ54" s="1"/>
      <c r="BK54" s="1"/>
    </row>
    <row r="55" spans="1:63" ht="16" thickBot="1" x14ac:dyDescent="0.25">
      <c r="A55" s="3">
        <v>54</v>
      </c>
      <c r="B55" s="78" t="s">
        <v>208</v>
      </c>
      <c r="C55" s="3" t="s">
        <v>543</v>
      </c>
      <c r="D55" s="3" t="s">
        <v>160</v>
      </c>
      <c r="E55" s="3"/>
      <c r="F55" s="3">
        <v>2022</v>
      </c>
      <c r="G55" s="3" t="s">
        <v>51</v>
      </c>
      <c r="H55" s="1" t="s">
        <v>113</v>
      </c>
      <c r="I55" s="78" t="s">
        <v>209</v>
      </c>
      <c r="J55" s="113">
        <f>Table4[[#This Row],[total_cost_npr]]*(1/'Calculations &amp; Assumptions'!$C$6)</f>
        <v>189.14549653579675</v>
      </c>
      <c r="K55" s="113">
        <f>Table4[[#This Row],[system_cost_npr_per_kwp]]*(1/'Calculations &amp; Assumptions'!$C$6)</f>
        <v>78.810623556581973</v>
      </c>
      <c r="L55" s="23">
        <f>IF(Table4[[#This Row],[total_cost_inr]]&gt;0, Table4[[#This Row],[total_cost_inr]]*'Calculations &amp; Assumptions'!$C$7,IF(Table4[[#This Row],[total_cost_eur]]&gt;0,Table4[[#This Row],[total_cost_eur]]*'Calculations &amp; Assumptions'!$C$5,0))</f>
        <v>24570</v>
      </c>
      <c r="M55" s="77">
        <f>IF(H55="smartmeter_1ph",Table4[[#This Row],[total_cost_npr]],Table4[[#This Row],[total_cost_npr]]/Table4[[#This Row],[pv_kWp]])</f>
        <v>10237.5</v>
      </c>
      <c r="N55" s="3"/>
      <c r="O55" s="3">
        <f>Table4[[#This Row],[total_cost_inr]]/Table4[[#This Row],[pv_kWp]]</f>
        <v>0</v>
      </c>
      <c r="P55" s="3">
        <v>189</v>
      </c>
      <c r="Q55" s="3">
        <f>Table4[[#This Row],[total_cost_eur]]/Table4[[#This Row],[pv_kWp]]</f>
        <v>78.75</v>
      </c>
      <c r="R55" s="3"/>
      <c r="S55" s="3"/>
      <c r="T55" s="1">
        <f>(12*200/1000)</f>
        <v>2.4</v>
      </c>
      <c r="U55" s="3"/>
      <c r="V55" s="3"/>
      <c r="W55" s="3"/>
      <c r="X55" s="3"/>
      <c r="Y55" s="3"/>
      <c r="Z55" s="3"/>
      <c r="AA55" s="3"/>
      <c r="AB55" s="3"/>
      <c r="AC55" s="3"/>
      <c r="AD55" s="3">
        <f>(12*200/1000)</f>
        <v>2.4</v>
      </c>
      <c r="AE55" s="3"/>
      <c r="AF55" s="3"/>
      <c r="AG55" s="3"/>
      <c r="AH55" s="3"/>
      <c r="AI55" s="3"/>
      <c r="AJ55" s="3"/>
      <c r="AK55" s="3"/>
      <c r="AL55" s="3"/>
      <c r="AM55" s="3"/>
      <c r="AN55" s="3"/>
      <c r="AO55" s="3"/>
      <c r="AP55" s="3"/>
      <c r="AQ55" s="3"/>
      <c r="AR55" s="3"/>
      <c r="AS55" s="1"/>
      <c r="AT55" s="1"/>
      <c r="AU55" s="1"/>
      <c r="AV55" s="1"/>
      <c r="AW55" s="1"/>
      <c r="AX55" s="1"/>
      <c r="AY55" s="1"/>
      <c r="AZ55" s="1"/>
      <c r="BA55" s="1"/>
      <c r="BB55" s="1"/>
      <c r="BC55" s="1"/>
      <c r="BD55" s="1"/>
      <c r="BE55" s="1"/>
      <c r="BF55" s="1"/>
      <c r="BG55" s="1"/>
      <c r="BH55" s="1"/>
      <c r="BI55" s="1"/>
      <c r="BJ55" s="1"/>
      <c r="BK55" s="1"/>
    </row>
    <row r="56" spans="1:63" ht="16" thickBot="1" x14ac:dyDescent="0.25">
      <c r="A56" s="3">
        <v>55</v>
      </c>
      <c r="B56" s="26" t="s">
        <v>210</v>
      </c>
      <c r="C56" s="3" t="s">
        <v>543</v>
      </c>
      <c r="D56" s="3" t="s">
        <v>160</v>
      </c>
      <c r="E56" s="3"/>
      <c r="F56" s="3">
        <v>2022</v>
      </c>
      <c r="G56" s="3" t="s">
        <v>51</v>
      </c>
      <c r="H56" s="1" t="s">
        <v>91</v>
      </c>
      <c r="I56" s="26" t="s">
        <v>211</v>
      </c>
      <c r="J56" s="113">
        <f>Table4[[#This Row],[total_cost_npr]]*(1/'Calculations &amp; Assumptions'!$C$6)</f>
        <v>1857.4287913779829</v>
      </c>
      <c r="K56" s="113">
        <f>Table4[[#This Row],[system_cost_npr_per_kwp]]*(1/'Calculations &amp; Assumptions'!$C$6)</f>
        <v>386.96433153707983</v>
      </c>
      <c r="L56" s="23">
        <f>IF(Table4[[#This Row],[total_cost_inr]]&gt;0, Table4[[#This Row],[total_cost_inr]]*'Calculations &amp; Assumptions'!$C$7,IF(Table4[[#This Row],[total_cost_eur]]&gt;0,Table4[[#This Row],[total_cost_eur]]*'Calculations &amp; Assumptions'!$C$5,0))</f>
        <v>241280</v>
      </c>
      <c r="M56" s="77">
        <f>IF(H56="smartmeter_1ph",Table4[[#This Row],[total_cost_npr]],Table4[[#This Row],[total_cost_npr]]/Table4[[#This Row],[pv_kWp]])</f>
        <v>50266.666666666672</v>
      </c>
      <c r="N56" s="3"/>
      <c r="O56" s="3">
        <f>Table4[[#This Row],[total_cost_inr]]/Table4[[#This Row],[pv_kWp]]</f>
        <v>0</v>
      </c>
      <c r="P56" s="3">
        <v>1856</v>
      </c>
      <c r="Q56" s="3">
        <f>Table4[[#This Row],[total_cost_eur]]/Table4[[#This Row],[pv_kWp]]</f>
        <v>386.66666666666669</v>
      </c>
      <c r="R56" s="3"/>
      <c r="S56" s="3"/>
      <c r="T56" s="3">
        <f>(48*100/1000)</f>
        <v>4.8</v>
      </c>
      <c r="U56" s="3"/>
      <c r="V56" s="3"/>
      <c r="W56" s="3"/>
      <c r="X56" s="3"/>
      <c r="Y56" s="3"/>
      <c r="Z56" s="3"/>
      <c r="AA56" s="3"/>
      <c r="AB56" s="3"/>
      <c r="AC56" s="3"/>
      <c r="AD56" s="3">
        <f>(48*100/1000)</f>
        <v>4.8</v>
      </c>
      <c r="AE56" s="3"/>
      <c r="AF56" s="3"/>
      <c r="AG56" s="3"/>
      <c r="AH56" s="3"/>
      <c r="AI56" s="3"/>
      <c r="AJ56" s="3"/>
      <c r="AK56" s="3"/>
      <c r="AL56" s="3"/>
      <c r="AM56" s="3"/>
      <c r="AN56" s="3"/>
      <c r="AO56" s="3"/>
      <c r="AP56" s="3"/>
      <c r="AQ56" s="3"/>
      <c r="AR56" s="3"/>
      <c r="AS56" s="1"/>
      <c r="AT56" s="1"/>
      <c r="AU56" s="1"/>
      <c r="AV56" s="1"/>
      <c r="AW56" s="1"/>
      <c r="AX56" s="1"/>
      <c r="AY56" s="1"/>
      <c r="AZ56" s="1"/>
      <c r="BA56" s="1"/>
      <c r="BB56" s="1"/>
      <c r="BC56" s="1"/>
      <c r="BD56" s="1"/>
      <c r="BE56" s="1"/>
      <c r="BF56" s="1"/>
      <c r="BG56" s="1"/>
      <c r="BH56" s="1"/>
      <c r="BI56" s="1"/>
      <c r="BJ56" s="1"/>
      <c r="BK56" s="1"/>
    </row>
    <row r="57" spans="1:63" ht="16" thickBot="1" x14ac:dyDescent="0.25">
      <c r="A57" s="3">
        <v>56</v>
      </c>
      <c r="B57" s="28" t="s">
        <v>212</v>
      </c>
      <c r="C57" s="3" t="s">
        <v>543</v>
      </c>
      <c r="D57" s="3" t="s">
        <v>160</v>
      </c>
      <c r="E57" s="3"/>
      <c r="F57" s="3">
        <v>2022</v>
      </c>
      <c r="G57" s="3" t="s">
        <v>51</v>
      </c>
      <c r="H57" s="1" t="s">
        <v>91</v>
      </c>
      <c r="I57" s="26" t="s">
        <v>213</v>
      </c>
      <c r="J57" s="113">
        <f>Table4[[#This Row],[total_cost_npr]]*(1/'Calculations &amp; Assumptions'!$C$6)</f>
        <v>1200.9237875288682</v>
      </c>
      <c r="K57" s="113">
        <f>Table4[[#This Row],[system_cost_npr_per_kwp]]*(1/'Calculations &amp; Assumptions'!$C$6)</f>
        <v>250.19245573518089</v>
      </c>
      <c r="L57" s="23">
        <f>IF(Table4[[#This Row],[total_cost_inr]]&gt;0, Table4[[#This Row],[total_cost_inr]]*'Calculations &amp; Assumptions'!$C$7,IF(Table4[[#This Row],[total_cost_eur]]&gt;0,Table4[[#This Row],[total_cost_eur]]*'Calculations &amp; Assumptions'!$C$5,0))</f>
        <v>156000</v>
      </c>
      <c r="M57" s="77">
        <f>IF(H57="smartmeter_1ph",Table4[[#This Row],[total_cost_npr]],Table4[[#This Row],[total_cost_npr]]/Table4[[#This Row],[pv_kWp]])</f>
        <v>32500</v>
      </c>
      <c r="N57" s="3"/>
      <c r="O57" s="3">
        <f>Table4[[#This Row],[total_cost_inr]]/Table4[[#This Row],[pv_kWp]]</f>
        <v>0</v>
      </c>
      <c r="P57" s="3">
        <v>1200</v>
      </c>
      <c r="Q57" s="3">
        <f>Table4[[#This Row],[total_cost_eur]]/Table4[[#This Row],[pv_kWp]]</f>
        <v>250</v>
      </c>
      <c r="R57" s="3"/>
      <c r="S57" s="3"/>
      <c r="T57" s="3">
        <f>(48*100/1000)</f>
        <v>4.8</v>
      </c>
      <c r="U57" s="3"/>
      <c r="V57" s="3"/>
      <c r="W57" s="3"/>
      <c r="X57" s="3"/>
      <c r="Y57" s="3"/>
      <c r="Z57" s="3"/>
      <c r="AA57" s="3"/>
      <c r="AB57" s="3"/>
      <c r="AC57" s="3"/>
      <c r="AD57" s="3">
        <f>(48*100/1000)</f>
        <v>4.8</v>
      </c>
      <c r="AE57" s="3"/>
      <c r="AF57" s="3"/>
      <c r="AG57" s="3"/>
      <c r="AH57" s="3"/>
      <c r="AI57" s="3"/>
      <c r="AJ57" s="3"/>
      <c r="AK57" s="3"/>
      <c r="AL57" s="3"/>
      <c r="AM57" s="3"/>
      <c r="AN57" s="3"/>
      <c r="AO57" s="3"/>
      <c r="AP57" s="3"/>
      <c r="AQ57" s="3"/>
      <c r="AR57" s="3"/>
      <c r="AS57" s="1"/>
      <c r="AT57" s="1"/>
      <c r="AU57" s="1"/>
      <c r="AV57" s="1"/>
      <c r="AW57" s="1"/>
      <c r="AX57" s="1"/>
      <c r="AY57" s="1"/>
      <c r="AZ57" s="1"/>
      <c r="BA57" s="1"/>
      <c r="BB57" s="1"/>
      <c r="BC57" s="1"/>
      <c r="BD57" s="1"/>
      <c r="BE57" s="1"/>
      <c r="BF57" s="1"/>
      <c r="BG57" s="1"/>
      <c r="BH57" s="1"/>
      <c r="BI57" s="1"/>
      <c r="BJ57" s="1"/>
      <c r="BK57" s="1"/>
    </row>
    <row r="58" spans="1:63" ht="16" thickBot="1" x14ac:dyDescent="0.25">
      <c r="A58" s="3">
        <v>57</v>
      </c>
      <c r="B58" s="28" t="s">
        <v>214</v>
      </c>
      <c r="C58" s="3" t="s">
        <v>543</v>
      </c>
      <c r="D58" s="3" t="s">
        <v>160</v>
      </c>
      <c r="E58" s="3"/>
      <c r="F58" s="3">
        <v>2022</v>
      </c>
      <c r="G58" s="3" t="s">
        <v>51</v>
      </c>
      <c r="H58" s="1" t="s">
        <v>91</v>
      </c>
      <c r="I58" s="78" t="s">
        <v>215</v>
      </c>
      <c r="J58" s="113">
        <f>Table4[[#This Row],[total_cost_npr]]*(1/'Calculations &amp; Assumptions'!$C$6)</f>
        <v>299.23017705927634</v>
      </c>
      <c r="K58" s="113">
        <f>Table4[[#This Row],[system_cost_npr_per_kwp]]*(1/'Calculations &amp; Assumptions'!$C$6)</f>
        <v>249.3584808827303</v>
      </c>
      <c r="L58" s="23">
        <f>IF(Table4[[#This Row],[total_cost_inr]]&gt;0, Table4[[#This Row],[total_cost_inr]]*'Calculations &amp; Assumptions'!$C$7,IF(Table4[[#This Row],[total_cost_eur]]&gt;0,Table4[[#This Row],[total_cost_eur]]*'Calculations &amp; Assumptions'!$C$5,0))</f>
        <v>38870</v>
      </c>
      <c r="M58" s="77">
        <f>IF(H58="smartmeter_1ph",Table4[[#This Row],[total_cost_npr]],Table4[[#This Row],[total_cost_npr]]/Table4[[#This Row],[pv_kWp]])</f>
        <v>32391.666666666668</v>
      </c>
      <c r="N58" s="3"/>
      <c r="O58" s="3">
        <f>Table4[[#This Row],[total_cost_inr]]/Table4[[#This Row],[pv_kWp]]</f>
        <v>0</v>
      </c>
      <c r="P58" s="3">
        <v>299</v>
      </c>
      <c r="Q58" s="3">
        <f>Table4[[#This Row],[total_cost_eur]]/Table4[[#This Row],[pv_kWp]]</f>
        <v>249.16666666666669</v>
      </c>
      <c r="R58" s="3"/>
      <c r="S58" s="3"/>
      <c r="T58" s="3">
        <f>(12*100/1000)</f>
        <v>1.2</v>
      </c>
      <c r="U58" s="3"/>
      <c r="V58" s="3"/>
      <c r="W58" s="3"/>
      <c r="X58" s="3"/>
      <c r="Y58" s="3"/>
      <c r="Z58" s="3"/>
      <c r="AA58" s="3"/>
      <c r="AB58" s="3"/>
      <c r="AC58" s="3"/>
      <c r="AD58" s="3">
        <f>(12*100/1000)</f>
        <v>1.2</v>
      </c>
      <c r="AE58" s="3"/>
      <c r="AF58" s="3"/>
      <c r="AG58" s="3"/>
      <c r="AH58" s="3"/>
      <c r="AI58" s="3"/>
      <c r="AJ58" s="3"/>
      <c r="AK58" s="3"/>
      <c r="AL58" s="3"/>
      <c r="AM58" s="3"/>
      <c r="AN58" s="3"/>
      <c r="AO58" s="3"/>
      <c r="AP58" s="3"/>
      <c r="AQ58" s="3"/>
      <c r="AR58" s="3"/>
      <c r="AS58" s="1"/>
      <c r="AT58" s="1"/>
      <c r="AU58" s="1"/>
      <c r="AV58" s="1"/>
      <c r="AW58" s="1"/>
      <c r="AX58" s="1"/>
      <c r="AY58" s="1"/>
      <c r="AZ58" s="1"/>
      <c r="BA58" s="1"/>
      <c r="BB58" s="1"/>
      <c r="BC58" s="1"/>
      <c r="BD58" s="1"/>
      <c r="BE58" s="1"/>
      <c r="BF58" s="1"/>
      <c r="BG58" s="1"/>
      <c r="BH58" s="1"/>
      <c r="BI58" s="1"/>
      <c r="BJ58" s="1"/>
      <c r="BK58" s="1"/>
    </row>
    <row r="59" spans="1:63" ht="16" thickBot="1" x14ac:dyDescent="0.25">
      <c r="A59" s="3">
        <v>58</v>
      </c>
      <c r="B59" s="80" t="s">
        <v>216</v>
      </c>
      <c r="C59" s="3" t="s">
        <v>543</v>
      </c>
      <c r="D59" s="3" t="s">
        <v>160</v>
      </c>
      <c r="E59" s="3"/>
      <c r="F59" s="3">
        <v>2022</v>
      </c>
      <c r="G59" s="3" t="s">
        <v>51</v>
      </c>
      <c r="H59" s="1" t="s">
        <v>91</v>
      </c>
      <c r="I59" s="78" t="s">
        <v>217</v>
      </c>
      <c r="J59" s="113">
        <f>Table4[[#This Row],[total_cost_npr]]*(1/'Calculations &amp; Assumptions'!$C$6)</f>
        <v>1301.0007698229406</v>
      </c>
      <c r="K59" s="113">
        <f>Table4[[#This Row],[system_cost_npr_per_kwp]]*(1/'Calculations &amp; Assumptions'!$C$6)</f>
        <v>271.04182704644597</v>
      </c>
      <c r="L59" s="23">
        <f>IF(Table4[[#This Row],[total_cost_inr]]&gt;0, Table4[[#This Row],[total_cost_inr]]*'Calculations &amp; Assumptions'!$C$7,IF(Table4[[#This Row],[total_cost_eur]]&gt;0,Table4[[#This Row],[total_cost_eur]]*'Calculations &amp; Assumptions'!$C$5,0))</f>
        <v>169000</v>
      </c>
      <c r="M59" s="77">
        <f>IF(H59="smartmeter_1ph",Table4[[#This Row],[total_cost_npr]],Table4[[#This Row],[total_cost_npr]]/Table4[[#This Row],[pv_kWp]])</f>
        <v>35208.333333333336</v>
      </c>
      <c r="N59" s="3"/>
      <c r="O59" s="3">
        <f>Table4[[#This Row],[total_cost_inr]]/Table4[[#This Row],[pv_kWp]]</f>
        <v>0</v>
      </c>
      <c r="P59" s="3">
        <v>1300</v>
      </c>
      <c r="Q59" s="3">
        <f>Table4[[#This Row],[total_cost_eur]]/Table4[[#This Row],[pv_kWp]]</f>
        <v>270.83333333333337</v>
      </c>
      <c r="R59" s="3"/>
      <c r="S59" s="3"/>
      <c r="T59" s="3">
        <f>(48*100/1000)</f>
        <v>4.8</v>
      </c>
      <c r="U59" s="3"/>
      <c r="V59" s="3"/>
      <c r="W59" s="3"/>
      <c r="X59" s="3"/>
      <c r="Y59" s="3"/>
      <c r="Z59" s="3"/>
      <c r="AA59" s="3"/>
      <c r="AB59" s="3"/>
      <c r="AC59" s="3"/>
      <c r="AD59" s="3">
        <f>(48*100/1000)</f>
        <v>4.8</v>
      </c>
      <c r="AE59" s="3"/>
      <c r="AF59" s="3"/>
      <c r="AG59" s="3"/>
      <c r="AH59" s="3"/>
      <c r="AI59" s="3"/>
      <c r="AJ59" s="3"/>
      <c r="AK59" s="3"/>
      <c r="AL59" s="3"/>
      <c r="AM59" s="3"/>
      <c r="AN59" s="3"/>
      <c r="AO59" s="3"/>
      <c r="AP59" s="3"/>
      <c r="AQ59" s="3"/>
      <c r="AR59" s="3"/>
      <c r="AS59" s="1"/>
      <c r="AT59" s="1"/>
      <c r="AU59" s="1"/>
      <c r="AV59" s="1"/>
      <c r="AW59" s="1"/>
      <c r="AX59" s="1"/>
      <c r="AY59" s="1"/>
      <c r="AZ59" s="1"/>
      <c r="BA59" s="1"/>
      <c r="BB59" s="1"/>
      <c r="BC59" s="1"/>
      <c r="BD59" s="1"/>
      <c r="BE59" s="1"/>
      <c r="BF59" s="1"/>
      <c r="BG59" s="1"/>
      <c r="BH59" s="1"/>
      <c r="BI59" s="1"/>
      <c r="BJ59" s="1"/>
      <c r="BK59" s="1"/>
    </row>
    <row r="60" spans="1:63" ht="16" thickBot="1" x14ac:dyDescent="0.25">
      <c r="A60" s="3">
        <v>59</v>
      </c>
      <c r="B60" s="80" t="s">
        <v>218</v>
      </c>
      <c r="C60" s="3" t="s">
        <v>543</v>
      </c>
      <c r="D60" s="3" t="s">
        <v>160</v>
      </c>
      <c r="E60" s="3"/>
      <c r="F60" s="3">
        <v>2022</v>
      </c>
      <c r="G60" s="3" t="s">
        <v>51</v>
      </c>
      <c r="H60" s="1" t="s">
        <v>91</v>
      </c>
      <c r="I60" s="78" t="s">
        <v>219</v>
      </c>
      <c r="J60" s="113">
        <f>Table4[[#This Row],[total_cost_npr]]*(1/'Calculations &amp; Assumptions'!$C$6)</f>
        <v>1150.8852963818322</v>
      </c>
      <c r="K60" s="113">
        <f>Table4[[#This Row],[system_cost_npr_per_kwp]]*(1/'Calculations &amp; Assumptions'!$C$6)</f>
        <v>239.76777007954837</v>
      </c>
      <c r="L60" s="23">
        <f>IF(Table4[[#This Row],[total_cost_inr]]&gt;0, Table4[[#This Row],[total_cost_inr]]*'Calculations &amp; Assumptions'!$C$7,IF(Table4[[#This Row],[total_cost_eur]]&gt;0,Table4[[#This Row],[total_cost_eur]]*'Calculations &amp; Assumptions'!$C$5,0))</f>
        <v>149500</v>
      </c>
      <c r="M60" s="77">
        <f>IF(H60="smartmeter_1ph",Table4[[#This Row],[total_cost_npr]],Table4[[#This Row],[total_cost_npr]]/Table4[[#This Row],[pv_kWp]])</f>
        <v>31145.833333333336</v>
      </c>
      <c r="N60" s="3"/>
      <c r="O60" s="3">
        <f>Table4[[#This Row],[total_cost_inr]]/Table4[[#This Row],[pv_kWp]]</f>
        <v>0</v>
      </c>
      <c r="P60" s="3">
        <v>1150</v>
      </c>
      <c r="Q60" s="3">
        <f>Table4[[#This Row],[total_cost_eur]]/Table4[[#This Row],[pv_kWp]]</f>
        <v>239.58333333333334</v>
      </c>
      <c r="R60" s="3"/>
      <c r="S60" s="3"/>
      <c r="T60" s="3">
        <f>(48*100/1000)</f>
        <v>4.8</v>
      </c>
      <c r="U60" s="3"/>
      <c r="V60" s="3"/>
      <c r="W60" s="3"/>
      <c r="X60" s="3"/>
      <c r="Y60" s="3"/>
      <c r="Z60" s="3"/>
      <c r="AA60" s="3"/>
      <c r="AB60" s="3"/>
      <c r="AC60" s="3"/>
      <c r="AD60" s="3">
        <f>(48*100/1000)</f>
        <v>4.8</v>
      </c>
      <c r="AE60" s="3"/>
      <c r="AF60" s="3"/>
      <c r="AG60" s="3"/>
      <c r="AH60" s="3"/>
      <c r="AI60" s="3"/>
      <c r="AJ60" s="3"/>
      <c r="AK60" s="3"/>
      <c r="AL60" s="3"/>
      <c r="AM60" s="3"/>
      <c r="AN60" s="3"/>
      <c r="AO60" s="3"/>
      <c r="AP60" s="3"/>
      <c r="AQ60" s="3"/>
      <c r="AR60" s="3"/>
      <c r="AS60" s="1"/>
      <c r="AT60" s="1"/>
      <c r="AU60" s="1"/>
      <c r="AV60" s="1"/>
      <c r="AW60" s="1"/>
      <c r="AX60" s="1"/>
      <c r="AY60" s="1"/>
      <c r="AZ60" s="1"/>
      <c r="BA60" s="1"/>
      <c r="BB60" s="1"/>
      <c r="BC60" s="1"/>
      <c r="BD60" s="1"/>
      <c r="BE60" s="1"/>
      <c r="BF60" s="1"/>
      <c r="BG60" s="1"/>
      <c r="BH60" s="1"/>
      <c r="BI60" s="1"/>
      <c r="BJ60" s="1"/>
      <c r="BK60" s="1"/>
    </row>
    <row r="61" spans="1:63" ht="16" thickBot="1" x14ac:dyDescent="0.25">
      <c r="A61" s="3">
        <v>60</v>
      </c>
      <c r="B61" s="26" t="s">
        <v>220</v>
      </c>
      <c r="C61" s="3" t="s">
        <v>543</v>
      </c>
      <c r="D61" s="3" t="s">
        <v>160</v>
      </c>
      <c r="E61" s="3"/>
      <c r="F61" s="3">
        <v>2022</v>
      </c>
      <c r="G61" s="3" t="s">
        <v>51</v>
      </c>
      <c r="H61" s="1" t="s">
        <v>116</v>
      </c>
      <c r="I61" s="26" t="s">
        <v>221</v>
      </c>
      <c r="J61" s="113">
        <f>Table4[[#This Row],[total_cost_npr]]*(1/'Calculations &amp; Assumptions'!$C$6)</f>
        <v>5003.8491147036175</v>
      </c>
      <c r="K61" s="113">
        <f>Table4[[#This Row],[system_cost_npr_per_kwp]]*(1/'Calculations &amp; Assumptions'!$C$6)</f>
        <v>250.19245573518089</v>
      </c>
      <c r="L61" s="23">
        <f>IF(Table4[[#This Row],[total_cost_inr]]&gt;0, Table4[[#This Row],[total_cost_inr]]*'Calculations &amp; Assumptions'!$C$7,IF(Table4[[#This Row],[total_cost_eur]]&gt;0,Table4[[#This Row],[total_cost_eur]]*'Calculations &amp; Assumptions'!$C$5,0))</f>
        <v>650000</v>
      </c>
      <c r="M61" s="77">
        <f>IF(H61="smartmeter_1ph",Table4[[#This Row],[total_cost_npr]],Table4[[#This Row],[total_cost_npr]]/Table4[[#This Row],[pv_kWp]])</f>
        <v>32500</v>
      </c>
      <c r="N61" s="3"/>
      <c r="O61" s="3">
        <f>Table4[[#This Row],[total_cost_inr]]/Table4[[#This Row],[pv_kWp]]</f>
        <v>0</v>
      </c>
      <c r="P61" s="3">
        <v>5000</v>
      </c>
      <c r="Q61" s="3">
        <f>Table4[[#This Row],[total_cost_eur]]/Table4[[#This Row],[pv_kWp]]</f>
        <v>250</v>
      </c>
      <c r="R61" s="3"/>
      <c r="S61" s="3"/>
      <c r="T61" s="3">
        <f>25*0.8</f>
        <v>20</v>
      </c>
      <c r="U61" s="3"/>
      <c r="V61" s="3"/>
      <c r="W61" s="3"/>
      <c r="X61" s="3"/>
      <c r="Y61" s="3"/>
      <c r="Z61" s="3"/>
      <c r="AA61" s="3"/>
      <c r="AB61" s="3"/>
      <c r="AC61" s="3"/>
      <c r="AD61" s="3"/>
      <c r="AE61" s="3"/>
      <c r="AF61" s="3">
        <f>25*0.8</f>
        <v>20</v>
      </c>
      <c r="AG61" s="3"/>
      <c r="AH61" s="3"/>
      <c r="AI61" s="3"/>
      <c r="AJ61" s="3"/>
      <c r="AK61" s="3"/>
      <c r="AL61" s="3"/>
      <c r="AM61" s="3"/>
      <c r="AN61" s="3"/>
      <c r="AO61" s="3"/>
      <c r="AP61" s="3"/>
      <c r="AQ61" s="3"/>
      <c r="AR61" s="3"/>
      <c r="AS61" s="1"/>
      <c r="AT61" s="1"/>
      <c r="AU61" s="1"/>
      <c r="AV61" s="1"/>
      <c r="AW61" s="1"/>
      <c r="AX61" s="1"/>
      <c r="AY61" s="1"/>
      <c r="AZ61" s="1"/>
      <c r="BA61" s="1"/>
      <c r="BB61" s="1"/>
      <c r="BC61" s="1"/>
      <c r="BD61" s="1"/>
      <c r="BE61" s="1"/>
      <c r="BF61" s="1"/>
      <c r="BG61" s="1"/>
      <c r="BH61" s="1"/>
      <c r="BI61" s="1"/>
      <c r="BJ61" s="1"/>
      <c r="BK61" s="1"/>
    </row>
    <row r="62" spans="1:63" ht="16" thickBot="1" x14ac:dyDescent="0.25">
      <c r="A62" s="3">
        <v>61</v>
      </c>
      <c r="B62" s="26" t="s">
        <v>222</v>
      </c>
      <c r="C62" s="3" t="s">
        <v>543</v>
      </c>
      <c r="D62" s="3" t="s">
        <v>160</v>
      </c>
      <c r="E62" s="3"/>
      <c r="F62" s="3">
        <v>2022</v>
      </c>
      <c r="G62" s="3" t="s">
        <v>51</v>
      </c>
      <c r="H62" s="1" t="s">
        <v>116</v>
      </c>
      <c r="I62" s="26" t="s">
        <v>223</v>
      </c>
      <c r="J62" s="113">
        <f>Table4[[#This Row],[total_cost_npr]]*(1/'Calculations &amp; Assumptions'!$C$6)</f>
        <v>19014.626635873748</v>
      </c>
      <c r="K62" s="113">
        <f>Table4[[#This Row],[system_cost_npr_per_kwp]]*(1/'Calculations &amp; Assumptions'!$C$6)</f>
        <v>118.84141647421092</v>
      </c>
      <c r="L62" s="23">
        <f>IF(Table4[[#This Row],[total_cost_inr]]&gt;0, Table4[[#This Row],[total_cost_inr]]*'Calculations &amp; Assumptions'!$C$7,IF(Table4[[#This Row],[total_cost_eur]]&gt;0,Table4[[#This Row],[total_cost_eur]]*'Calculations &amp; Assumptions'!$C$5,0))</f>
        <v>2470000</v>
      </c>
      <c r="M62" s="77">
        <f>IF(H62="smartmeter_1ph",Table4[[#This Row],[total_cost_npr]],Table4[[#This Row],[total_cost_npr]]/Table4[[#This Row],[pv_kWp]])</f>
        <v>15437.5</v>
      </c>
      <c r="N62" s="3"/>
      <c r="O62" s="3">
        <f>Table4[[#This Row],[total_cost_inr]]/Table4[[#This Row],[pv_kWp]]</f>
        <v>0</v>
      </c>
      <c r="P62" s="79">
        <v>19000</v>
      </c>
      <c r="Q62" s="3">
        <f>Table4[[#This Row],[total_cost_eur]]/Table4[[#This Row],[pv_kWp]]</f>
        <v>118.75</v>
      </c>
      <c r="R62" s="3"/>
      <c r="S62" s="3"/>
      <c r="T62" s="3">
        <f>200*0.8</f>
        <v>160</v>
      </c>
      <c r="U62" s="3"/>
      <c r="V62" s="3"/>
      <c r="W62" s="3"/>
      <c r="X62" s="3"/>
      <c r="Y62" s="3"/>
      <c r="Z62" s="3"/>
      <c r="AA62" s="3"/>
      <c r="AB62" s="3"/>
      <c r="AC62" s="3"/>
      <c r="AD62" s="3"/>
      <c r="AE62" s="3"/>
      <c r="AF62" s="3">
        <f>200*0.8</f>
        <v>160</v>
      </c>
      <c r="AG62" s="3"/>
      <c r="AH62" s="3"/>
      <c r="AI62" s="3"/>
      <c r="AJ62" s="3"/>
      <c r="AK62" s="3"/>
      <c r="AL62" s="3"/>
      <c r="AM62" s="3"/>
      <c r="AN62" s="3"/>
      <c r="AO62" s="3"/>
      <c r="AP62" s="3"/>
      <c r="AQ62" s="3"/>
      <c r="AR62" s="3"/>
      <c r="AS62" s="1"/>
      <c r="AT62" s="1"/>
      <c r="AU62" s="1"/>
      <c r="AV62" s="1"/>
      <c r="AW62" s="1"/>
      <c r="AX62" s="1"/>
      <c r="AY62" s="1"/>
      <c r="AZ62" s="1"/>
      <c r="BA62" s="1"/>
      <c r="BB62" s="1"/>
      <c r="BC62" s="1"/>
      <c r="BD62" s="1"/>
      <c r="BE62" s="1"/>
      <c r="BF62" s="1"/>
      <c r="BG62" s="1"/>
      <c r="BH62" s="1"/>
      <c r="BI62" s="1"/>
      <c r="BJ62" s="1"/>
      <c r="BK62" s="1"/>
    </row>
    <row r="63" spans="1:63" ht="16" thickBot="1" x14ac:dyDescent="0.25">
      <c r="A63" s="3">
        <v>62</v>
      </c>
      <c r="B63" s="26" t="s">
        <v>224</v>
      </c>
      <c r="C63" s="3" t="s">
        <v>543</v>
      </c>
      <c r="D63" s="3" t="s">
        <v>160</v>
      </c>
      <c r="E63" s="3"/>
      <c r="F63" s="1">
        <v>2022</v>
      </c>
      <c r="G63" s="3" t="s">
        <v>51</v>
      </c>
      <c r="H63" s="3" t="s">
        <v>116</v>
      </c>
      <c r="I63" s="26" t="s">
        <v>225</v>
      </c>
      <c r="J63" s="113">
        <f>Table4[[#This Row],[total_cost_npr]]*(1/'Calculations &amp; Assumptions'!$C$6)</f>
        <v>1501.1547344110852</v>
      </c>
      <c r="K63" s="113">
        <f>Table4[[#This Row],[system_cost_npr_per_kwp]]*(1/'Calculations &amp; Assumptions'!$C$6)</f>
        <v>187.64434180138565</v>
      </c>
      <c r="L63" s="23">
        <f>IF(Table4[[#This Row],[total_cost_inr]]&gt;0, Table4[[#This Row],[total_cost_inr]]*'Calculations &amp; Assumptions'!$C$7,IF(Table4[[#This Row],[total_cost_eur]]&gt;0,Table4[[#This Row],[total_cost_eur]]*'Calculations &amp; Assumptions'!$C$5,0))</f>
        <v>195000</v>
      </c>
      <c r="M63" s="77">
        <f>IF(H63="smartmeter_1ph",Table4[[#This Row],[total_cost_npr]],Table4[[#This Row],[total_cost_npr]]/Table4[[#This Row],[pv_kWp]])</f>
        <v>24375</v>
      </c>
      <c r="N63" s="3"/>
      <c r="O63" s="3">
        <f>Table4[[#This Row],[total_cost_inr]]/Table4[[#This Row],[pv_kWp]]</f>
        <v>0</v>
      </c>
      <c r="P63" s="3">
        <v>1500</v>
      </c>
      <c r="Q63" s="3">
        <f>Table4[[#This Row],[total_cost_eur]]/Table4[[#This Row],[pv_kWp]]</f>
        <v>187.5</v>
      </c>
      <c r="R63" s="3"/>
      <c r="S63" s="3"/>
      <c r="T63" s="3">
        <f>10*0.8</f>
        <v>8</v>
      </c>
      <c r="U63" s="3"/>
      <c r="V63" s="3"/>
      <c r="W63" s="3"/>
      <c r="X63" s="3"/>
      <c r="Y63" s="3"/>
      <c r="Z63" s="3"/>
      <c r="AA63" s="3"/>
      <c r="AB63" s="3"/>
      <c r="AC63" s="3"/>
      <c r="AD63" s="3"/>
      <c r="AE63" s="3"/>
      <c r="AF63" s="3">
        <f>10*0.8</f>
        <v>8</v>
      </c>
      <c r="AG63" s="3"/>
      <c r="AH63" s="3"/>
      <c r="AI63" s="3"/>
      <c r="AJ63" s="3"/>
      <c r="AK63" s="3"/>
      <c r="AL63" s="3"/>
      <c r="AM63" s="3"/>
      <c r="AN63" s="3"/>
      <c r="AO63" s="3"/>
      <c r="AP63" s="3"/>
      <c r="AQ63" s="3"/>
      <c r="AR63" s="3"/>
      <c r="AS63" s="1"/>
      <c r="AT63" s="1"/>
      <c r="AU63" s="1"/>
      <c r="AV63" s="1"/>
      <c r="AW63" s="1"/>
      <c r="AX63" s="1"/>
      <c r="AY63" s="1"/>
      <c r="AZ63" s="1"/>
      <c r="BA63" s="1"/>
      <c r="BB63" s="1"/>
      <c r="BC63" s="1"/>
      <c r="BD63" s="1"/>
      <c r="BE63" s="1"/>
      <c r="BF63" s="1"/>
      <c r="BG63" s="1"/>
      <c r="BH63" s="1"/>
      <c r="BI63" s="1"/>
      <c r="BJ63" s="1"/>
      <c r="BK63" s="1"/>
    </row>
    <row r="64" spans="1:63" ht="16" thickBot="1" x14ac:dyDescent="0.25">
      <c r="A64" s="3">
        <v>63</v>
      </c>
      <c r="B64" s="26" t="s">
        <v>226</v>
      </c>
      <c r="C64" s="3" t="s">
        <v>543</v>
      </c>
      <c r="D64" s="3" t="s">
        <v>160</v>
      </c>
      <c r="E64" s="3"/>
      <c r="F64" s="1">
        <v>2022</v>
      </c>
      <c r="G64" s="3" t="s">
        <v>51</v>
      </c>
      <c r="H64" s="1" t="s">
        <v>116</v>
      </c>
      <c r="I64" s="26" t="s">
        <v>227</v>
      </c>
      <c r="J64" s="113">
        <f>Table4[[#This Row],[total_cost_npr]]*(1/'Calculations &amp; Assumptions'!$C$6)</f>
        <v>3502.6943802925325</v>
      </c>
      <c r="K64" s="113">
        <f>Table4[[#This Row],[system_cost_npr_per_kwp]]*(1/'Calculations &amp; Assumptions'!$C$6)</f>
        <v>218.91839876828328</v>
      </c>
      <c r="L64" s="23">
        <f>IF(Table4[[#This Row],[total_cost_inr]]&gt;0, Table4[[#This Row],[total_cost_inr]]*'Calculations &amp; Assumptions'!$C$7,IF(Table4[[#This Row],[total_cost_eur]]&gt;0,Table4[[#This Row],[total_cost_eur]]*'Calculations &amp; Assumptions'!$C$5,0))</f>
        <v>455000</v>
      </c>
      <c r="M64" s="77">
        <f>IF(H64="smartmeter_1ph",Table4[[#This Row],[total_cost_npr]],Table4[[#This Row],[total_cost_npr]]/Table4[[#This Row],[pv_kWp]])</f>
        <v>28437.5</v>
      </c>
      <c r="N64" s="3"/>
      <c r="O64" s="3">
        <f>Table4[[#This Row],[total_cost_inr]]/Table4[[#This Row],[pv_kWp]]</f>
        <v>0</v>
      </c>
      <c r="P64" s="79">
        <v>3500</v>
      </c>
      <c r="Q64" s="3">
        <f>Table4[[#This Row],[total_cost_eur]]/Table4[[#This Row],[pv_kWp]]</f>
        <v>218.75</v>
      </c>
      <c r="R64" s="3"/>
      <c r="S64" s="3"/>
      <c r="T64" s="3">
        <f>20*0.8</f>
        <v>16</v>
      </c>
      <c r="U64" s="3"/>
      <c r="V64" s="3"/>
      <c r="W64" s="3"/>
      <c r="X64" s="3"/>
      <c r="Y64" s="3"/>
      <c r="Z64" s="3"/>
      <c r="AA64" s="3"/>
      <c r="AB64" s="3"/>
      <c r="AC64" s="3"/>
      <c r="AD64" s="3"/>
      <c r="AE64" s="3"/>
      <c r="AF64" s="3">
        <f>20*0.8</f>
        <v>16</v>
      </c>
      <c r="AG64" s="3"/>
      <c r="AH64" s="3"/>
      <c r="AI64" s="3"/>
      <c r="AJ64" s="3"/>
      <c r="AK64" s="3"/>
      <c r="AL64" s="3"/>
      <c r="AM64" s="3"/>
      <c r="AN64" s="3"/>
      <c r="AO64" s="3"/>
      <c r="AP64" s="3"/>
      <c r="AQ64" s="3"/>
      <c r="AR64" s="3"/>
      <c r="AS64" s="1"/>
      <c r="AT64" s="1"/>
      <c r="AU64" s="1"/>
      <c r="AV64" s="1"/>
      <c r="AW64" s="1"/>
      <c r="AX64" s="1"/>
      <c r="AY64" s="1"/>
      <c r="AZ64" s="1"/>
      <c r="BA64" s="1"/>
      <c r="BB64" s="1"/>
      <c r="BC64" s="1"/>
      <c r="BD64" s="1"/>
      <c r="BE64" s="1"/>
      <c r="BF64" s="1"/>
      <c r="BG64" s="1"/>
      <c r="BH64" s="1"/>
      <c r="BI64" s="1"/>
      <c r="BJ64" s="1"/>
      <c r="BK64" s="1"/>
    </row>
    <row r="65" spans="1:63" ht="16" thickBot="1" x14ac:dyDescent="0.25">
      <c r="A65" s="3">
        <v>64</v>
      </c>
      <c r="B65" s="26" t="s">
        <v>228</v>
      </c>
      <c r="C65" s="3" t="s">
        <v>543</v>
      </c>
      <c r="D65" s="3" t="s">
        <v>160</v>
      </c>
      <c r="E65" s="3"/>
      <c r="F65" s="1">
        <v>2022</v>
      </c>
      <c r="G65" s="3" t="s">
        <v>51</v>
      </c>
      <c r="H65" s="1" t="s">
        <v>116</v>
      </c>
      <c r="I65" s="26" t="s">
        <v>229</v>
      </c>
      <c r="J65" s="113">
        <f>Table4[[#This Row],[total_cost_npr]]*(1/'Calculations &amp; Assumptions'!$C$6)</f>
        <v>5003.8491147036175</v>
      </c>
      <c r="K65" s="113">
        <f>Table4[[#This Row],[system_cost_npr_per_kwp]]*(1/'Calculations &amp; Assumptions'!$C$6)</f>
        <v>312.74056966897609</v>
      </c>
      <c r="L65" s="23">
        <f>IF(Table4[[#This Row],[total_cost_inr]]&gt;0, Table4[[#This Row],[total_cost_inr]]*'Calculations &amp; Assumptions'!$C$7,IF(Table4[[#This Row],[total_cost_eur]]&gt;0,Table4[[#This Row],[total_cost_eur]]*'Calculations &amp; Assumptions'!$C$5,0))</f>
        <v>650000</v>
      </c>
      <c r="M65" s="77">
        <f>IF(H65="smartmeter_1ph",Table4[[#This Row],[total_cost_npr]],Table4[[#This Row],[total_cost_npr]]/Table4[[#This Row],[pv_kWp]])</f>
        <v>40625</v>
      </c>
      <c r="N65" s="3"/>
      <c r="O65" s="3">
        <f>Table4[[#This Row],[total_cost_inr]]/Table4[[#This Row],[pv_kWp]]</f>
        <v>0</v>
      </c>
      <c r="P65" s="3">
        <v>5000</v>
      </c>
      <c r="Q65" s="3">
        <f>Table4[[#This Row],[total_cost_eur]]/Table4[[#This Row],[pv_kWp]]</f>
        <v>312.5</v>
      </c>
      <c r="R65" s="3"/>
      <c r="S65" s="3"/>
      <c r="T65" s="3">
        <f>20*0.8</f>
        <v>16</v>
      </c>
      <c r="U65" s="3"/>
      <c r="V65" s="3"/>
      <c r="W65" s="3"/>
      <c r="X65" s="3"/>
      <c r="Y65" s="3"/>
      <c r="Z65" s="3"/>
      <c r="AA65" s="3"/>
      <c r="AB65" s="3"/>
      <c r="AC65" s="3"/>
      <c r="AD65" s="3"/>
      <c r="AE65" s="3"/>
      <c r="AF65" s="3">
        <f>20*0.8</f>
        <v>16</v>
      </c>
      <c r="AG65" s="3"/>
      <c r="AH65" s="3"/>
      <c r="AI65" s="3"/>
      <c r="AJ65" s="3"/>
      <c r="AK65" s="3"/>
      <c r="AL65" s="3"/>
      <c r="AM65" s="3"/>
      <c r="AN65" s="3"/>
      <c r="AO65" s="3"/>
      <c r="AP65" s="3"/>
      <c r="AQ65" s="3"/>
      <c r="AR65" s="3"/>
      <c r="AS65" s="1"/>
      <c r="AT65" s="1"/>
      <c r="AU65" s="1"/>
      <c r="AV65" s="1"/>
      <c r="AW65" s="1"/>
      <c r="AX65" s="1"/>
      <c r="AY65" s="1"/>
      <c r="AZ65" s="1"/>
      <c r="BA65" s="1"/>
      <c r="BB65" s="1"/>
      <c r="BC65" s="1"/>
      <c r="BD65" s="1"/>
      <c r="BE65" s="1"/>
      <c r="BF65" s="1"/>
      <c r="BG65" s="1"/>
      <c r="BH65" s="1"/>
      <c r="BI65" s="1"/>
      <c r="BJ65" s="1"/>
      <c r="BK65" s="1"/>
    </row>
    <row r="66" spans="1:63" ht="16" thickBot="1" x14ac:dyDescent="0.25">
      <c r="A66" s="3">
        <v>65</v>
      </c>
      <c r="B66" s="80" t="s">
        <v>230</v>
      </c>
      <c r="C66" s="3" t="s">
        <v>543</v>
      </c>
      <c r="D66" s="3" t="s">
        <v>40</v>
      </c>
      <c r="E66" s="3"/>
      <c r="F66" s="1">
        <v>2022</v>
      </c>
      <c r="G66" s="3" t="s">
        <v>51</v>
      </c>
      <c r="H66" s="1" t="s">
        <v>58</v>
      </c>
      <c r="I66" s="78" t="s">
        <v>231</v>
      </c>
      <c r="J66" s="113">
        <f>Table4[[#This Row],[total_cost_npr]]*(1/'Calculations &amp; Assumptions'!$C$6)</f>
        <v>73.163972286374133</v>
      </c>
      <c r="K66" s="113">
        <f>Table4[[#This Row],[system_cost_npr_per_kwp]]*(1/'Calculations &amp; Assumptions'!$C$6)</f>
        <v>443.41801385681288</v>
      </c>
      <c r="L66" s="23">
        <f>IF(Table4[[#This Row],[total_cost_inr]]&gt;0, Table4[[#This Row],[total_cost_inr]]*'Calculations &amp; Assumptions'!$C$7,IF(Table4[[#This Row],[total_cost_eur]]&gt;0,Table4[[#This Row],[total_cost_eur]]*'Calculations &amp; Assumptions'!$C$5,0))</f>
        <v>9504</v>
      </c>
      <c r="M66" s="77">
        <f>IF(H66="smartmeter_1ph",Table4[[#This Row],[total_cost_npr]],Table4[[#This Row],[total_cost_npr]]/Table4[[#This Row],[pv_kWp]])</f>
        <v>57600</v>
      </c>
      <c r="N66" s="3">
        <f>36*165</f>
        <v>5940</v>
      </c>
      <c r="O66" s="3">
        <f>Table4[[#This Row],[total_cost_inr]]/Table4[[#This Row],[pv_kWp]]</f>
        <v>36000</v>
      </c>
      <c r="P66" s="3"/>
      <c r="Q66" s="3">
        <f>Table4[[#This Row],[total_cost_eur]]/Table4[[#This Row],[pv_kWp]]</f>
        <v>0</v>
      </c>
      <c r="R66" s="3"/>
      <c r="S66" s="3"/>
      <c r="T66" s="3">
        <v>0.16500000000000001</v>
      </c>
      <c r="U66" s="3"/>
      <c r="V66" s="3"/>
      <c r="W66" s="3"/>
      <c r="X66" s="3"/>
      <c r="Y66" s="3"/>
      <c r="Z66" s="3"/>
      <c r="AA66" s="3"/>
      <c r="AB66" s="3"/>
      <c r="AC66" s="3"/>
      <c r="AD66" s="3"/>
      <c r="AE66" s="3"/>
      <c r="AF66" s="3"/>
      <c r="AG66" s="3"/>
      <c r="AH66" s="3"/>
      <c r="AI66" s="3"/>
      <c r="AJ66" s="3"/>
      <c r="AK66" s="3"/>
      <c r="AL66" s="3"/>
      <c r="AM66" s="3"/>
      <c r="AN66" s="3"/>
      <c r="AO66" s="3"/>
      <c r="AP66" s="3"/>
      <c r="AQ66" s="3"/>
      <c r="AR66" s="3"/>
      <c r="AS66" s="1"/>
      <c r="AT66" s="1"/>
      <c r="AU66" s="1"/>
      <c r="AV66" s="1"/>
      <c r="AW66" s="1"/>
      <c r="AX66" s="1"/>
      <c r="AY66" s="1"/>
      <c r="AZ66" s="1"/>
      <c r="BA66" s="1"/>
      <c r="BB66" s="1"/>
      <c r="BC66" s="1"/>
      <c r="BD66" s="1"/>
      <c r="BE66" s="1"/>
      <c r="BF66" s="1"/>
      <c r="BG66" s="1"/>
      <c r="BH66" s="1"/>
      <c r="BI66" s="1"/>
      <c r="BJ66" s="1"/>
      <c r="BK66" s="1"/>
    </row>
    <row r="67" spans="1:63" ht="16" thickBot="1" x14ac:dyDescent="0.25">
      <c r="A67" s="3">
        <v>66</v>
      </c>
      <c r="B67" s="80" t="s">
        <v>232</v>
      </c>
      <c r="C67" s="3" t="s">
        <v>543</v>
      </c>
      <c r="D67" s="3" t="s">
        <v>40</v>
      </c>
      <c r="E67" s="3"/>
      <c r="F67" s="1">
        <v>2022</v>
      </c>
      <c r="G67" s="3" t="s">
        <v>51</v>
      </c>
      <c r="H67" s="1" t="s">
        <v>58</v>
      </c>
      <c r="I67" s="78" t="s">
        <v>233</v>
      </c>
      <c r="J67" s="113">
        <f>Table4[[#This Row],[total_cost_npr]]*(1/'Calculations &amp; Assumptions'!$C$6)</f>
        <v>142.87913779830637</v>
      </c>
      <c r="K67" s="113">
        <f>Table4[[#This Row],[system_cost_npr_per_kwp]]*(1/'Calculations &amp; Assumptions'!$C$6)</f>
        <v>357.19784449576593</v>
      </c>
      <c r="L67" s="23">
        <f>IF(Table4[[#This Row],[total_cost_inr]]&gt;0, Table4[[#This Row],[total_cost_inr]]*'Calculations &amp; Assumptions'!$C$7,IF(Table4[[#This Row],[total_cost_eur]]&gt;0,Table4[[#This Row],[total_cost_eur]]*'Calculations &amp; Assumptions'!$C$5,0))</f>
        <v>18560</v>
      </c>
      <c r="M67" s="77">
        <f>IF(H67="smartmeter_1ph",Table4[[#This Row],[total_cost_npr]],Table4[[#This Row],[total_cost_npr]]/Table4[[#This Row],[pv_kWp]])</f>
        <v>46400</v>
      </c>
      <c r="N67" s="3">
        <f>29*400</f>
        <v>11600</v>
      </c>
      <c r="O67" s="3">
        <f>Table4[[#This Row],[total_cost_inr]]/Table4[[#This Row],[pv_kWp]]</f>
        <v>29000</v>
      </c>
      <c r="P67" s="3"/>
      <c r="Q67" s="3">
        <f>Table4[[#This Row],[total_cost_eur]]/Table4[[#This Row],[pv_kWp]]</f>
        <v>0</v>
      </c>
      <c r="R67" s="3"/>
      <c r="S67" s="3"/>
      <c r="T67" s="3">
        <v>0.4</v>
      </c>
      <c r="U67" s="3"/>
      <c r="V67" s="3"/>
      <c r="W67" s="3"/>
      <c r="X67" s="3"/>
      <c r="Y67" s="3"/>
      <c r="Z67" s="3"/>
      <c r="AA67" s="3"/>
      <c r="AB67" s="3"/>
      <c r="AC67" s="3"/>
      <c r="AD67" s="3"/>
      <c r="AE67" s="3"/>
      <c r="AF67" s="3"/>
      <c r="AG67" s="3"/>
      <c r="AH67" s="3"/>
      <c r="AI67" s="3"/>
      <c r="AJ67" s="3"/>
      <c r="AK67" s="3"/>
      <c r="AL67" s="3"/>
      <c r="AM67" s="3"/>
      <c r="AN67" s="3"/>
      <c r="AO67" s="3"/>
      <c r="AP67" s="3"/>
      <c r="AQ67" s="3"/>
      <c r="AR67" s="3"/>
      <c r="AS67" s="1"/>
      <c r="AT67" s="1"/>
      <c r="AU67" s="1"/>
      <c r="AV67" s="1"/>
      <c r="AW67" s="1"/>
      <c r="AX67" s="1"/>
      <c r="AY67" s="1"/>
      <c r="AZ67" s="1"/>
      <c r="BA67" s="1"/>
      <c r="BB67" s="1"/>
      <c r="BC67" s="1"/>
      <c r="BD67" s="1"/>
      <c r="BE67" s="1"/>
      <c r="BF67" s="1"/>
      <c r="BG67" s="1"/>
      <c r="BH67" s="1"/>
      <c r="BI67" s="1"/>
      <c r="BJ67" s="1"/>
      <c r="BK67" s="1"/>
    </row>
    <row r="68" spans="1:63" ht="16" thickBot="1" x14ac:dyDescent="0.25">
      <c r="A68" s="3">
        <v>67</v>
      </c>
      <c r="B68" s="78" t="s">
        <v>234</v>
      </c>
      <c r="C68" s="3" t="s">
        <v>543</v>
      </c>
      <c r="D68" s="3" t="s">
        <v>40</v>
      </c>
      <c r="E68" s="3"/>
      <c r="F68" s="1">
        <v>2022</v>
      </c>
      <c r="G68" s="3" t="s">
        <v>51</v>
      </c>
      <c r="H68" s="1" t="s">
        <v>58</v>
      </c>
      <c r="I68" s="78" t="s">
        <v>235</v>
      </c>
      <c r="J68" s="113">
        <f>Table4[[#This Row],[total_cost_npr]]*(1/'Calculations &amp; Assumptions'!$C$6)</f>
        <v>73.903002309468818</v>
      </c>
      <c r="K68" s="113">
        <f>Table4[[#This Row],[system_cost_npr_per_kwp]]*(1/'Calculations &amp; Assumptions'!$C$6)</f>
        <v>230.94688221709004</v>
      </c>
      <c r="L68" s="23">
        <f>IF(Table4[[#This Row],[total_cost_inr]]&gt;0, Table4[[#This Row],[total_cost_inr]]*'Calculations &amp; Assumptions'!$C$7,IF(Table4[[#This Row],[total_cost_eur]]&gt;0,Table4[[#This Row],[total_cost_eur]]*'Calculations &amp; Assumptions'!$C$5,0))</f>
        <v>9600</v>
      </c>
      <c r="M68" s="77">
        <f>IF(H68="smartmeter_1ph",Table4[[#This Row],[total_cost_npr]],Table4[[#This Row],[total_cost_npr]]/Table4[[#This Row],[pv_kWp]])</f>
        <v>30000</v>
      </c>
      <c r="N68" s="3">
        <v>6000</v>
      </c>
      <c r="O68" s="3">
        <f>Table4[[#This Row],[total_cost_inr]]/Table4[[#This Row],[pv_kWp]]</f>
        <v>18750</v>
      </c>
      <c r="P68" s="3"/>
      <c r="Q68" s="3">
        <f>Table4[[#This Row],[total_cost_eur]]/Table4[[#This Row],[pv_kWp]]</f>
        <v>0</v>
      </c>
      <c r="R68" s="3"/>
      <c r="S68" s="3"/>
      <c r="T68" s="3">
        <v>0.32</v>
      </c>
      <c r="U68" s="3"/>
      <c r="V68" s="3"/>
      <c r="W68" s="3"/>
      <c r="X68" s="3"/>
      <c r="Y68" s="3"/>
      <c r="Z68" s="3"/>
      <c r="AA68" s="3"/>
      <c r="AB68" s="3"/>
      <c r="AC68" s="3"/>
      <c r="AD68" s="3"/>
      <c r="AE68" s="3"/>
      <c r="AF68" s="3"/>
      <c r="AG68" s="3"/>
      <c r="AH68" s="3"/>
      <c r="AI68" s="3"/>
      <c r="AJ68" s="3"/>
      <c r="AK68" s="3"/>
      <c r="AL68" s="3"/>
      <c r="AM68" s="3"/>
      <c r="AN68" s="3"/>
      <c r="AO68" s="3"/>
      <c r="AP68" s="3"/>
      <c r="AQ68" s="3"/>
      <c r="AR68" s="3"/>
      <c r="AS68" s="1"/>
      <c r="AT68" s="1"/>
      <c r="AU68" s="1"/>
      <c r="AV68" s="1"/>
      <c r="AW68" s="1"/>
      <c r="AX68" s="1"/>
      <c r="AY68" s="1"/>
      <c r="AZ68" s="1"/>
      <c r="BA68" s="1"/>
      <c r="BB68" s="1"/>
      <c r="BC68" s="1"/>
      <c r="BD68" s="1"/>
      <c r="BE68" s="1"/>
      <c r="BF68" s="1"/>
      <c r="BG68" s="1"/>
      <c r="BH68" s="1"/>
      <c r="BI68" s="1"/>
      <c r="BJ68" s="1"/>
      <c r="BK68" s="1"/>
    </row>
    <row r="69" spans="1:63" ht="16" thickBot="1" x14ac:dyDescent="0.25">
      <c r="A69" s="3">
        <v>68</v>
      </c>
      <c r="B69" s="80" t="s">
        <v>280</v>
      </c>
      <c r="C69" s="3" t="s">
        <v>543</v>
      </c>
      <c r="D69" s="3" t="s">
        <v>40</v>
      </c>
      <c r="E69" s="3"/>
      <c r="F69" s="1">
        <v>2022</v>
      </c>
      <c r="G69" s="3" t="s">
        <v>51</v>
      </c>
      <c r="H69" s="1" t="s">
        <v>58</v>
      </c>
      <c r="I69" s="78" t="s">
        <v>279</v>
      </c>
      <c r="J69" s="113">
        <f>Table4[[#This Row],[total_cost_npr]]*(1/'Calculations &amp; Assumptions'!$C$6)</f>
        <v>98.537336412625081</v>
      </c>
      <c r="K69" s="113">
        <f>Table4[[#This Row],[system_cost_npr_per_kwp]]*(1/'Calculations &amp; Assumptions'!$C$6)</f>
        <v>394.14934565050032</v>
      </c>
      <c r="L69" s="23">
        <f>IF(Table4[[#This Row],[total_cost_inr]]&gt;0, Table4[[#This Row],[total_cost_inr]]*'Calculations &amp; Assumptions'!$C$7,IF(Table4[[#This Row],[total_cost_eur]]&gt;0,Table4[[#This Row],[total_cost_eur]]*'Calculations &amp; Assumptions'!$C$5,0))</f>
        <v>12800</v>
      </c>
      <c r="M69" s="77">
        <f>IF(H69="smartmeter_1ph",Table4[[#This Row],[total_cost_npr]],Table4[[#This Row],[total_cost_npr]]/Table4[[#This Row],[pv_kWp]])</f>
        <v>51200</v>
      </c>
      <c r="N69" s="3">
        <f>Table4[[#This Row],[system_cost_inr_per_kwp]]*Table4[[#This Row],[pv_kWp]]</f>
        <v>8000</v>
      </c>
      <c r="O69" s="3">
        <v>32000</v>
      </c>
      <c r="P69" s="3"/>
      <c r="Q69" s="3">
        <f>Table4[[#This Row],[total_cost_eur]]/Table4[[#This Row],[pv_kWp]]</f>
        <v>0</v>
      </c>
      <c r="R69" s="3"/>
      <c r="S69" s="3"/>
      <c r="T69" s="3">
        <v>0.25</v>
      </c>
      <c r="U69" s="3"/>
      <c r="V69" s="3"/>
      <c r="W69" s="3"/>
      <c r="X69" s="3"/>
      <c r="Y69" s="3"/>
      <c r="Z69" s="3"/>
      <c r="AA69" s="3"/>
      <c r="AB69" s="3"/>
      <c r="AC69" s="3"/>
      <c r="AD69" s="3"/>
      <c r="AE69" s="3"/>
      <c r="AF69" s="3"/>
      <c r="AG69" s="3"/>
      <c r="AH69" s="3"/>
      <c r="AI69" s="3"/>
      <c r="AJ69" s="3"/>
      <c r="AK69" s="3"/>
      <c r="AL69" s="3"/>
      <c r="AM69" s="3"/>
      <c r="AN69" s="3"/>
      <c r="AO69" s="3"/>
      <c r="AP69" s="3"/>
      <c r="AQ69" s="3"/>
      <c r="AR69" s="3"/>
      <c r="AS69" s="1"/>
      <c r="AT69" s="1"/>
      <c r="AU69" s="1"/>
      <c r="AV69" s="1"/>
      <c r="AW69" s="1"/>
      <c r="AX69" s="1"/>
      <c r="AY69" s="1"/>
      <c r="AZ69" s="1"/>
      <c r="BA69" s="1"/>
      <c r="BB69" s="1"/>
      <c r="BC69" s="1"/>
      <c r="BD69" s="1"/>
      <c r="BE69" s="1"/>
      <c r="BF69" s="1"/>
      <c r="BG69" s="1"/>
      <c r="BH69" s="1"/>
      <c r="BI69" s="1"/>
      <c r="BJ69" s="1"/>
      <c r="BK69" s="1"/>
    </row>
    <row r="70" spans="1:63" ht="16" thickBot="1" x14ac:dyDescent="0.25">
      <c r="A70" s="3">
        <v>69</v>
      </c>
      <c r="B70" s="28" t="s">
        <v>249</v>
      </c>
      <c r="C70" s="3" t="s">
        <v>543</v>
      </c>
      <c r="D70" s="3" t="s">
        <v>160</v>
      </c>
      <c r="E70" s="3"/>
      <c r="F70" s="1">
        <v>2022</v>
      </c>
      <c r="G70" s="3" t="s">
        <v>51</v>
      </c>
      <c r="H70" s="1" t="s">
        <v>52</v>
      </c>
      <c r="I70" s="26" t="s">
        <v>250</v>
      </c>
      <c r="J70" s="113">
        <f>Table4[[#This Row],[total_cost_npr]]*(1/'Calculations &amp; Assumptions'!$C$6)</f>
        <v>28.02155504234026</v>
      </c>
      <c r="K70" s="113">
        <f>Table4[[#This Row],[system_cost_npr_per_kwp]]*(1/'Calculations &amp; Assumptions'!$C$6)</f>
        <v>28.02155504234026</v>
      </c>
      <c r="L70" s="23">
        <f>IF(Table4[[#This Row],[total_cost_inr]]&gt;0, Table4[[#This Row],[total_cost_inr]]*'Calculations &amp; Assumptions'!$C$7,IF(Table4[[#This Row],[total_cost_eur]]&gt;0,Table4[[#This Row],[total_cost_eur]]*'Calculations &amp; Assumptions'!$C$5,0))</f>
        <v>3640</v>
      </c>
      <c r="M70" s="77">
        <f>IF(H70="smartmeter_1ph",Table4[[#This Row],[total_cost_npr]],Table4[[#This Row],[total_cost_npr]]/Table4[[#This Row],[pv_kWp]])</f>
        <v>3640</v>
      </c>
      <c r="N70" s="3"/>
      <c r="O70" s="3"/>
      <c r="P70" s="3">
        <v>28</v>
      </c>
      <c r="Q70" s="3" t="e">
        <f>Table4[[#This Row],[total_cost_eur]]/Table4[[#This Row],[pv_kWp]]</f>
        <v>#DIV/0!</v>
      </c>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1"/>
      <c r="AT70" s="1"/>
      <c r="AU70" s="1"/>
      <c r="AV70" s="1"/>
      <c r="AW70" s="1"/>
      <c r="AX70" s="1"/>
      <c r="AY70" s="1"/>
      <c r="AZ70" s="1"/>
      <c r="BA70" s="1"/>
      <c r="BB70" s="1"/>
      <c r="BC70" s="1"/>
      <c r="BD70" s="1"/>
      <c r="BE70" s="1"/>
      <c r="BF70" s="1"/>
      <c r="BG70" s="1"/>
      <c r="BH70" s="1"/>
      <c r="BI70" s="1"/>
      <c r="BJ70" s="1"/>
      <c r="BK70" s="1"/>
    </row>
    <row r="71" spans="1:63" ht="16" thickBot="1" x14ac:dyDescent="0.25">
      <c r="A71" s="3">
        <v>70</v>
      </c>
      <c r="B71" s="26" t="s">
        <v>251</v>
      </c>
      <c r="C71" s="3" t="s">
        <v>543</v>
      </c>
      <c r="D71" s="3" t="s">
        <v>160</v>
      </c>
      <c r="E71" s="3"/>
      <c r="F71" s="1">
        <v>2022</v>
      </c>
      <c r="G71" s="3" t="s">
        <v>51</v>
      </c>
      <c r="H71" s="1" t="s">
        <v>52</v>
      </c>
      <c r="I71" s="26" t="s">
        <v>252</v>
      </c>
      <c r="J71" s="113">
        <f>Table4[[#This Row],[total_cost_npr]]*(1/'Calculations &amp; Assumptions'!$C$6)</f>
        <v>36.027713625866049</v>
      </c>
      <c r="K71" s="113">
        <f>Table4[[#This Row],[system_cost_npr_per_kwp]]*(1/'Calculations &amp; Assumptions'!$C$6)</f>
        <v>36.027713625866049</v>
      </c>
      <c r="L71" s="23">
        <f>IF(Table4[[#This Row],[total_cost_inr]]&gt;0, Table4[[#This Row],[total_cost_inr]]*'Calculations &amp; Assumptions'!$C$7,IF(Table4[[#This Row],[total_cost_eur]]&gt;0,Table4[[#This Row],[total_cost_eur]]*'Calculations &amp; Assumptions'!$C$5,0))</f>
        <v>4680</v>
      </c>
      <c r="M71" s="77">
        <f>IF(H71="smartmeter_1ph",Table4[[#This Row],[total_cost_npr]],Table4[[#This Row],[total_cost_npr]]/Table4[[#This Row],[pv_kWp]])</f>
        <v>4680</v>
      </c>
      <c r="N71" s="3"/>
      <c r="O71" s="3"/>
      <c r="P71" s="3">
        <v>36</v>
      </c>
      <c r="Q71" s="3" t="e">
        <f>Table4[[#This Row],[total_cost_eur]]/Table4[[#This Row],[pv_kWp]]</f>
        <v>#DIV/0!</v>
      </c>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1"/>
      <c r="AT71" s="1"/>
      <c r="AU71" s="1"/>
      <c r="AV71" s="1"/>
      <c r="AW71" s="1"/>
      <c r="AX71" s="1"/>
      <c r="AY71" s="1"/>
      <c r="AZ71" s="1"/>
      <c r="BA71" s="1"/>
      <c r="BB71" s="1"/>
      <c r="BC71" s="1"/>
      <c r="BD71" s="1"/>
      <c r="BE71" s="1"/>
      <c r="BF71" s="1"/>
      <c r="BG71" s="1"/>
      <c r="BH71" s="1"/>
      <c r="BI71" s="1"/>
      <c r="BJ71" s="1"/>
      <c r="BK71" s="1"/>
    </row>
    <row r="72" spans="1:63" ht="16" thickBot="1" x14ac:dyDescent="0.25">
      <c r="A72" s="3">
        <v>71</v>
      </c>
      <c r="B72" s="26" t="s">
        <v>253</v>
      </c>
      <c r="C72" s="3" t="s">
        <v>543</v>
      </c>
      <c r="D72" s="3" t="s">
        <v>160</v>
      </c>
      <c r="E72" s="3"/>
      <c r="F72" s="1">
        <v>2022</v>
      </c>
      <c r="G72" s="3" t="s">
        <v>51</v>
      </c>
      <c r="H72" s="1" t="s">
        <v>52</v>
      </c>
      <c r="I72" s="26" t="s">
        <v>254</v>
      </c>
      <c r="J72" s="113">
        <f>Table4[[#This Row],[total_cost_npr]]*(1/'Calculations &amp; Assumptions'!$C$6)</f>
        <v>27.020785219399535</v>
      </c>
      <c r="K72" s="113">
        <f>Table4[[#This Row],[system_cost_npr_per_kwp]]*(1/'Calculations &amp; Assumptions'!$C$6)</f>
        <v>27.020785219399535</v>
      </c>
      <c r="L72" s="23">
        <f>IF(Table4[[#This Row],[total_cost_inr]]&gt;0, Table4[[#This Row],[total_cost_inr]]*'Calculations &amp; Assumptions'!$C$7,IF(Table4[[#This Row],[total_cost_eur]]&gt;0,Table4[[#This Row],[total_cost_eur]]*'Calculations &amp; Assumptions'!$C$5,0))</f>
        <v>3510</v>
      </c>
      <c r="M72" s="77">
        <f>IF(H72="smartmeter_1ph",Table4[[#This Row],[total_cost_npr]],Table4[[#This Row],[total_cost_npr]]/Table4[[#This Row],[pv_kWp]])</f>
        <v>3510</v>
      </c>
      <c r="N72" s="3"/>
      <c r="O72" s="3"/>
      <c r="P72" s="3">
        <v>27</v>
      </c>
      <c r="Q72" s="3" t="e">
        <f>Table4[[#This Row],[total_cost_eur]]/Table4[[#This Row],[pv_kWp]]</f>
        <v>#DIV/0!</v>
      </c>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1"/>
      <c r="AT72" s="1"/>
      <c r="AU72" s="1"/>
      <c r="AV72" s="1"/>
      <c r="AW72" s="1"/>
      <c r="AX72" s="1"/>
      <c r="AY72" s="1"/>
      <c r="AZ72" s="1"/>
      <c r="BA72" s="1"/>
      <c r="BB72" s="1"/>
      <c r="BC72" s="1"/>
      <c r="BD72" s="1"/>
      <c r="BE72" s="1"/>
      <c r="BF72" s="1"/>
      <c r="BG72" s="1"/>
      <c r="BH72" s="1"/>
      <c r="BI72" s="1"/>
      <c r="BJ72" s="1"/>
      <c r="BK72" s="1"/>
    </row>
    <row r="73" spans="1:63" ht="16" thickBot="1" x14ac:dyDescent="0.25">
      <c r="A73" s="3">
        <v>72</v>
      </c>
      <c r="B73" s="26" t="s">
        <v>255</v>
      </c>
      <c r="C73" s="3" t="s">
        <v>543</v>
      </c>
      <c r="D73" s="3" t="s">
        <v>160</v>
      </c>
      <c r="E73" s="3"/>
      <c r="F73" s="1">
        <v>2022</v>
      </c>
      <c r="G73" s="3" t="s">
        <v>51</v>
      </c>
      <c r="H73" s="1" t="s">
        <v>52</v>
      </c>
      <c r="I73" s="26" t="s">
        <v>256</v>
      </c>
      <c r="J73" s="113">
        <f>Table4[[#This Row],[total_cost_npr]]*(1/'Calculations &amp; Assumptions'!$C$6)</f>
        <v>35.026943802925324</v>
      </c>
      <c r="K73" s="113">
        <f>Table4[[#This Row],[system_cost_npr_per_kwp]]*(1/'Calculations &amp; Assumptions'!$C$6)</f>
        <v>35.026943802925324</v>
      </c>
      <c r="L73" s="23">
        <f>IF(Table4[[#This Row],[total_cost_inr]]&gt;0, Table4[[#This Row],[total_cost_inr]]*'Calculations &amp; Assumptions'!$C$7,IF(Table4[[#This Row],[total_cost_eur]]&gt;0,Table4[[#This Row],[total_cost_eur]]*'Calculations &amp; Assumptions'!$C$5,0))</f>
        <v>4550</v>
      </c>
      <c r="M73" s="77">
        <f>IF(H73="smartmeter_1ph",Table4[[#This Row],[total_cost_npr]],Table4[[#This Row],[total_cost_npr]]/Table4[[#This Row],[pv_kWp]])</f>
        <v>4550</v>
      </c>
      <c r="N73" s="3"/>
      <c r="O73" s="3"/>
      <c r="P73" s="3">
        <v>35</v>
      </c>
      <c r="Q73" s="3" t="e">
        <f>Table4[[#This Row],[total_cost_eur]]/Table4[[#This Row],[pv_kWp]]</f>
        <v>#DIV/0!</v>
      </c>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1"/>
      <c r="AT73" s="1"/>
      <c r="AU73" s="1"/>
      <c r="AV73" s="1"/>
      <c r="AW73" s="1"/>
      <c r="AX73" s="1"/>
      <c r="AY73" s="1"/>
      <c r="AZ73" s="1"/>
      <c r="BA73" s="1"/>
      <c r="BB73" s="1"/>
      <c r="BC73" s="1"/>
      <c r="BD73" s="1"/>
      <c r="BE73" s="1"/>
      <c r="BF73" s="1"/>
      <c r="BG73" s="1"/>
      <c r="BH73" s="1"/>
      <c r="BI73" s="1"/>
      <c r="BJ73" s="1"/>
      <c r="BK73" s="1"/>
    </row>
    <row r="74" spans="1:63" ht="16" thickBot="1" x14ac:dyDescent="0.25">
      <c r="A74" s="3">
        <v>73</v>
      </c>
      <c r="B74" s="28" t="s">
        <v>257</v>
      </c>
      <c r="C74" s="3" t="s">
        <v>543</v>
      </c>
      <c r="D74" s="3" t="s">
        <v>83</v>
      </c>
      <c r="E74" s="3"/>
      <c r="F74" s="1">
        <v>2022</v>
      </c>
      <c r="G74" s="3" t="s">
        <v>51</v>
      </c>
      <c r="H74" s="1" t="s">
        <v>92</v>
      </c>
      <c r="I74" s="25" t="s">
        <v>258</v>
      </c>
      <c r="J74" s="113">
        <f>Table4[[#This Row],[total_cost_npr]]*(1/'Calculations &amp; Assumptions'!$C$6)</f>
        <v>899.69207082371042</v>
      </c>
      <c r="K74" s="113">
        <f>Table4[[#This Row],[system_cost_npr_per_kwp]]*(1/'Calculations &amp; Assumptions'!$C$6)</f>
        <v>299.89735694123681</v>
      </c>
      <c r="L74" s="23">
        <f>IF(Table4[[#This Row],[total_cost_inr]]&gt;0, Table4[[#This Row],[total_cost_inr]]*'Calculations &amp; Assumptions'!$C$7,IF(Table4[[#This Row],[total_cost_eur]]&gt;0,Table4[[#This Row],[total_cost_eur]]*'Calculations &amp; Assumptions'!$C$5,0))</f>
        <v>116870</v>
      </c>
      <c r="M74" s="77">
        <f>IF(H74="smartmeter_1ph",Table4[[#This Row],[total_cost_npr]],Table4[[#This Row],[total_cost_npr]]/Table4[[#This Row],[pv_kWp]])</f>
        <v>38956.666666666664</v>
      </c>
      <c r="N74" s="3"/>
      <c r="O74" s="3">
        <f>Table4[[#This Row],[total_cost_inr]]/Table4[[#This Row],[pv_kWp]]</f>
        <v>0</v>
      </c>
      <c r="P74" s="3">
        <v>899</v>
      </c>
      <c r="Q74" s="3">
        <f>Table4[[#This Row],[total_cost_eur]]/Table4[[#This Row],[pv_kWp]]</f>
        <v>299.66666666666669</v>
      </c>
      <c r="R74" s="3"/>
      <c r="S74" s="3"/>
      <c r="T74" s="3">
        <v>3</v>
      </c>
      <c r="U74" s="3"/>
      <c r="V74" s="3"/>
      <c r="W74" s="3"/>
      <c r="X74" s="3"/>
      <c r="Y74" s="3"/>
      <c r="Z74" s="3"/>
      <c r="AA74" s="3"/>
      <c r="AB74" s="3"/>
      <c r="AC74" s="3"/>
      <c r="AD74" s="3"/>
      <c r="AE74" s="3"/>
      <c r="AF74" s="3"/>
      <c r="AG74" s="3"/>
      <c r="AH74" s="3"/>
      <c r="AI74" s="3"/>
      <c r="AJ74" s="3"/>
      <c r="AK74" s="3"/>
      <c r="AL74" s="3"/>
      <c r="AM74" s="3"/>
      <c r="AN74" s="3"/>
      <c r="AO74" s="3"/>
      <c r="AP74" s="3"/>
      <c r="AQ74" s="3"/>
      <c r="AR74" s="3"/>
      <c r="AS74" s="1"/>
      <c r="AT74" s="1"/>
      <c r="AU74" s="1"/>
      <c r="AV74" s="1"/>
      <c r="AW74" s="1"/>
      <c r="AX74" s="1"/>
      <c r="AY74" s="1"/>
      <c r="AZ74" s="1"/>
      <c r="BA74" s="1"/>
      <c r="BB74" s="1"/>
      <c r="BC74" s="1"/>
      <c r="BD74" s="1"/>
      <c r="BE74" s="1"/>
      <c r="BF74" s="1"/>
      <c r="BG74" s="1"/>
      <c r="BH74" s="1"/>
      <c r="BI74" s="1"/>
      <c r="BJ74" s="1"/>
      <c r="BK74" s="1"/>
    </row>
    <row r="75" spans="1:63" ht="16" thickBot="1" x14ac:dyDescent="0.25">
      <c r="A75" s="3">
        <v>74</v>
      </c>
      <c r="B75" s="28" t="s">
        <v>259</v>
      </c>
      <c r="C75" s="3" t="s">
        <v>543</v>
      </c>
      <c r="D75" s="3" t="s">
        <v>83</v>
      </c>
      <c r="E75" s="3"/>
      <c r="F75" s="1">
        <v>2022</v>
      </c>
      <c r="G75" s="3" t="s">
        <v>51</v>
      </c>
      <c r="H75" s="1" t="s">
        <v>92</v>
      </c>
      <c r="I75" s="25" t="s">
        <v>258</v>
      </c>
      <c r="J75" s="113">
        <f>Table4[[#This Row],[total_cost_npr]]*(1/'Calculations &amp; Assumptions'!$C$6)</f>
        <v>959.73826020015383</v>
      </c>
      <c r="K75" s="113">
        <f>Table4[[#This Row],[system_cost_npr_per_kwp]]*(1/'Calculations &amp; Assumptions'!$C$6)</f>
        <v>246.08673338465485</v>
      </c>
      <c r="L75" s="23">
        <f>IF(Table4[[#This Row],[total_cost_inr]]&gt;0, Table4[[#This Row],[total_cost_inr]]*'Calculations &amp; Assumptions'!$C$7,IF(Table4[[#This Row],[total_cost_eur]]&gt;0,Table4[[#This Row],[total_cost_eur]]*'Calculations &amp; Assumptions'!$C$5,0))</f>
        <v>124670</v>
      </c>
      <c r="M75" s="77">
        <f>IF(H75="smartmeter_1ph",Table4[[#This Row],[total_cost_npr]],Table4[[#This Row],[total_cost_npr]]/Table4[[#This Row],[pv_kWp]])</f>
        <v>31966.666666666668</v>
      </c>
      <c r="N75" s="3"/>
      <c r="O75" s="3">
        <f>Table4[[#This Row],[total_cost_inr]]/Table4[[#This Row],[pv_kWp]]</f>
        <v>0</v>
      </c>
      <c r="P75" s="3">
        <v>959</v>
      </c>
      <c r="Q75" s="3">
        <f>Table4[[#This Row],[total_cost_eur]]/Table4[[#This Row],[pv_kWp]]</f>
        <v>245.89743589743591</v>
      </c>
      <c r="R75" s="3"/>
      <c r="S75" s="3"/>
      <c r="T75" s="3">
        <v>3.9</v>
      </c>
      <c r="U75" s="3"/>
      <c r="V75" s="3"/>
      <c r="W75" s="3"/>
      <c r="X75" s="3"/>
      <c r="Y75" s="3"/>
      <c r="Z75" s="3"/>
      <c r="AA75" s="3"/>
      <c r="AB75" s="3"/>
      <c r="AC75" s="3"/>
      <c r="AD75" s="3"/>
      <c r="AE75" s="3"/>
      <c r="AF75" s="3"/>
      <c r="AG75" s="3"/>
      <c r="AH75" s="3"/>
      <c r="AI75" s="3"/>
      <c r="AJ75" s="3"/>
      <c r="AK75" s="3"/>
      <c r="AL75" s="3"/>
      <c r="AM75" s="3"/>
      <c r="AN75" s="3"/>
      <c r="AO75" s="3"/>
      <c r="AP75" s="3"/>
      <c r="AQ75" s="3"/>
      <c r="AR75" s="3"/>
      <c r="AS75" s="1"/>
      <c r="AT75" s="1"/>
      <c r="AU75" s="1"/>
      <c r="AV75" s="1"/>
      <c r="AW75" s="1"/>
      <c r="AX75" s="1"/>
      <c r="AY75" s="1"/>
      <c r="AZ75" s="1"/>
      <c r="BA75" s="1"/>
      <c r="BB75" s="1"/>
      <c r="BC75" s="1"/>
      <c r="BD75" s="1"/>
      <c r="BE75" s="1"/>
      <c r="BF75" s="1"/>
      <c r="BG75" s="1"/>
      <c r="BH75" s="1"/>
      <c r="BI75" s="1"/>
      <c r="BJ75" s="1"/>
      <c r="BK75" s="1"/>
    </row>
    <row r="76" spans="1:63" ht="16" thickBot="1" x14ac:dyDescent="0.25">
      <c r="A76" s="3">
        <v>75</v>
      </c>
      <c r="B76" s="26" t="s">
        <v>260</v>
      </c>
      <c r="C76" s="3" t="s">
        <v>543</v>
      </c>
      <c r="D76" s="3" t="s">
        <v>83</v>
      </c>
      <c r="E76" s="3"/>
      <c r="F76" s="1">
        <v>2022</v>
      </c>
      <c r="G76" s="3" t="s">
        <v>51</v>
      </c>
      <c r="H76" s="1" t="s">
        <v>92</v>
      </c>
      <c r="I76" s="25" t="s">
        <v>258</v>
      </c>
      <c r="J76" s="113">
        <f>Table4[[#This Row],[total_cost_npr]]*(1/'Calculations &amp; Assumptions'!$C$6)</f>
        <v>1129.869130100077</v>
      </c>
      <c r="K76" s="113">
        <f>Table4[[#This Row],[system_cost_npr_per_kwp]]*(1/'Calculations &amp; Assumptions'!$C$6)</f>
        <v>269.01645954763734</v>
      </c>
      <c r="L76" s="23">
        <f>IF(Table4[[#This Row],[total_cost_inr]]&gt;0, Table4[[#This Row],[total_cost_inr]]*'Calculations &amp; Assumptions'!$C$7,IF(Table4[[#This Row],[total_cost_eur]]&gt;0,Table4[[#This Row],[total_cost_eur]]*'Calculations &amp; Assumptions'!$C$5,0))</f>
        <v>146770</v>
      </c>
      <c r="M76" s="77">
        <f>IF(H76="smartmeter_1ph",Table4[[#This Row],[total_cost_npr]],Table4[[#This Row],[total_cost_npr]]/Table4[[#This Row],[pv_kWp]])</f>
        <v>34945.238095238092</v>
      </c>
      <c r="N76" s="3"/>
      <c r="O76" s="3">
        <f>Table4[[#This Row],[total_cost_inr]]/Table4[[#This Row],[pv_kWp]]</f>
        <v>0</v>
      </c>
      <c r="P76" s="3">
        <v>1129</v>
      </c>
      <c r="Q76" s="3">
        <f>Table4[[#This Row],[total_cost_eur]]/Table4[[#This Row],[pv_kWp]]</f>
        <v>268.8095238095238</v>
      </c>
      <c r="R76" s="3"/>
      <c r="S76" s="3"/>
      <c r="T76" s="3">
        <v>4.2</v>
      </c>
      <c r="U76" s="3"/>
      <c r="V76" s="3"/>
      <c r="W76" s="3"/>
      <c r="X76" s="3"/>
      <c r="Y76" s="3"/>
      <c r="Z76" s="3"/>
      <c r="AA76" s="3"/>
      <c r="AB76" s="3"/>
      <c r="AC76" s="3"/>
      <c r="AD76" s="3"/>
      <c r="AE76" s="3"/>
      <c r="AF76" s="3"/>
      <c r="AG76" s="3"/>
      <c r="AH76" s="3"/>
      <c r="AI76" s="3"/>
      <c r="AJ76" s="3"/>
      <c r="AK76" s="3"/>
      <c r="AL76" s="3"/>
      <c r="AM76" s="3"/>
      <c r="AN76" s="3"/>
      <c r="AO76" s="3"/>
      <c r="AP76" s="3"/>
      <c r="AQ76" s="3"/>
      <c r="AR76" s="3"/>
      <c r="AS76" s="1"/>
      <c r="AT76" s="1"/>
      <c r="AU76" s="1"/>
      <c r="AV76" s="1"/>
      <c r="AW76" s="1"/>
      <c r="AX76" s="1"/>
      <c r="AY76" s="1"/>
      <c r="AZ76" s="1"/>
      <c r="BA76" s="1"/>
      <c r="BB76" s="1"/>
      <c r="BC76" s="1"/>
      <c r="BD76" s="1"/>
      <c r="BE76" s="1"/>
      <c r="BF76" s="1"/>
      <c r="BG76" s="1"/>
      <c r="BH76" s="1"/>
      <c r="BI76" s="1"/>
      <c r="BJ76" s="1"/>
      <c r="BK76" s="1"/>
    </row>
    <row r="77" spans="1:63" ht="16" thickBot="1" x14ac:dyDescent="0.25">
      <c r="A77" s="3">
        <v>76</v>
      </c>
      <c r="B77" s="26" t="s">
        <v>261</v>
      </c>
      <c r="C77" s="3" t="s">
        <v>543</v>
      </c>
      <c r="D77" s="3" t="s">
        <v>83</v>
      </c>
      <c r="E77" s="3"/>
      <c r="F77" s="1">
        <v>2022</v>
      </c>
      <c r="G77" s="3" t="s">
        <v>51</v>
      </c>
      <c r="H77" s="1" t="s">
        <v>92</v>
      </c>
      <c r="I77" s="25" t="s">
        <v>258</v>
      </c>
      <c r="J77" s="113">
        <f>Table4[[#This Row],[total_cost_npr]]*(1/'Calculations &amp; Assumptions'!$C$6)</f>
        <v>1168.8991531947652</v>
      </c>
      <c r="K77" s="113">
        <f>Table4[[#This Row],[system_cost_npr_per_kwp]]*(1/'Calculations &amp; Assumptions'!$C$6)</f>
        <v>224.78829869130098</v>
      </c>
      <c r="L77" s="23">
        <f>IF(Table4[[#This Row],[total_cost_inr]]&gt;0, Table4[[#This Row],[total_cost_inr]]*'Calculations &amp; Assumptions'!$C$7,IF(Table4[[#This Row],[total_cost_eur]]&gt;0,Table4[[#This Row],[total_cost_eur]]*'Calculations &amp; Assumptions'!$C$5,0))</f>
        <v>151840</v>
      </c>
      <c r="M77" s="77">
        <f>IF(H77="smartmeter_1ph",Table4[[#This Row],[total_cost_npr]],Table4[[#This Row],[total_cost_npr]]/Table4[[#This Row],[pv_kWp]])</f>
        <v>29200</v>
      </c>
      <c r="N77" s="3"/>
      <c r="O77" s="3">
        <f>Table4[[#This Row],[total_cost_inr]]/Table4[[#This Row],[pv_kWp]]</f>
        <v>0</v>
      </c>
      <c r="P77" s="3">
        <v>1168</v>
      </c>
      <c r="Q77" s="3">
        <f>Table4[[#This Row],[total_cost_eur]]/Table4[[#This Row],[pv_kWp]]</f>
        <v>224.61538461538461</v>
      </c>
      <c r="R77" s="3"/>
      <c r="S77" s="3"/>
      <c r="T77" s="3">
        <v>5.2</v>
      </c>
      <c r="U77" s="3"/>
      <c r="V77" s="3"/>
      <c r="W77" s="3"/>
      <c r="X77" s="3"/>
      <c r="Y77" s="3"/>
      <c r="Z77" s="3"/>
      <c r="AA77" s="3"/>
      <c r="AB77" s="3"/>
      <c r="AC77" s="3"/>
      <c r="AD77" s="3"/>
      <c r="AE77" s="3"/>
      <c r="AF77" s="3"/>
      <c r="AG77" s="3"/>
      <c r="AH77" s="3"/>
      <c r="AI77" s="3"/>
      <c r="AJ77" s="3"/>
      <c r="AK77" s="3"/>
      <c r="AL77" s="3"/>
      <c r="AM77" s="3"/>
      <c r="AN77" s="3"/>
      <c r="AO77" s="3"/>
      <c r="AP77" s="3"/>
      <c r="AQ77" s="3"/>
      <c r="AR77" s="3"/>
      <c r="AS77" s="1" t="s">
        <v>60</v>
      </c>
      <c r="AT77" s="1"/>
      <c r="AU77" s="1"/>
      <c r="AV77" s="1"/>
      <c r="AW77" s="1"/>
      <c r="AX77" s="1"/>
      <c r="AY77" s="1"/>
      <c r="AZ77" s="1"/>
      <c r="BA77" s="1"/>
      <c r="BB77" s="1"/>
      <c r="BC77" s="1"/>
      <c r="BD77" s="1"/>
      <c r="BE77" s="1"/>
      <c r="BF77" s="1"/>
      <c r="BG77" s="1"/>
      <c r="BH77" s="1"/>
      <c r="BI77" s="1"/>
      <c r="BJ77" s="1"/>
      <c r="BK77" s="1"/>
    </row>
    <row r="78" spans="1:63" ht="16" thickBot="1" x14ac:dyDescent="0.25">
      <c r="A78" s="3">
        <v>77</v>
      </c>
      <c r="B78" s="25" t="s">
        <v>263</v>
      </c>
      <c r="C78" s="3" t="s">
        <v>543</v>
      </c>
      <c r="D78" s="3" t="s">
        <v>83</v>
      </c>
      <c r="E78" s="3"/>
      <c r="F78" s="3">
        <v>2022</v>
      </c>
      <c r="G78" s="3" t="s">
        <v>51</v>
      </c>
      <c r="H78" s="3" t="s">
        <v>81</v>
      </c>
      <c r="I78" s="25" t="s">
        <v>262</v>
      </c>
      <c r="J78" s="113">
        <f>Table4[[#This Row],[total_cost_npr]]*(1/'Calculations &amp; Assumptions'!$C$6)</f>
        <v>2802.155504234026</v>
      </c>
      <c r="K78" s="113">
        <f>Table4[[#This Row],[system_cost_npr_per_kwp]]*(1/'Calculations &amp; Assumptions'!$C$6)</f>
        <v>350.26943802925325</v>
      </c>
      <c r="L78" s="23">
        <f>IF(Table4[[#This Row],[total_cost_inr]]&gt;0, Table4[[#This Row],[total_cost_inr]]*'Calculations &amp; Assumptions'!$C$7,IF(Table4[[#This Row],[total_cost_eur]]&gt;0,Table4[[#This Row],[total_cost_eur]]*'Calculations &amp; Assumptions'!$C$5,0))</f>
        <v>364000</v>
      </c>
      <c r="M78" s="77">
        <f>IF(H78="smartmeter_1ph",Table4[[#This Row],[total_cost_npr]],Table4[[#This Row],[total_cost_npr]]/Table4[[#This Row],[pv_kWp]])</f>
        <v>45500</v>
      </c>
      <c r="N78" s="3"/>
      <c r="O78" s="3">
        <f>Table4[[#This Row],[total_cost_inr]]/Table4[[#This Row],[pv_kWp]]</f>
        <v>0</v>
      </c>
      <c r="P78" s="3">
        <v>2800</v>
      </c>
      <c r="Q78" s="3">
        <f>Table4[[#This Row],[total_cost_eur]]/Table4[[#This Row],[pv_kWp]]</f>
        <v>350</v>
      </c>
      <c r="R78" s="3"/>
      <c r="S78" s="3"/>
      <c r="T78" s="3">
        <v>8</v>
      </c>
      <c r="U78" s="3"/>
      <c r="V78" s="3"/>
      <c r="W78" s="3"/>
      <c r="X78" s="3"/>
      <c r="Y78" s="3"/>
      <c r="Z78" s="3"/>
      <c r="AA78" s="3"/>
      <c r="AB78" s="3"/>
      <c r="AC78" s="3"/>
      <c r="AD78" s="3"/>
      <c r="AE78" s="3"/>
      <c r="AF78" s="3"/>
      <c r="AG78" s="3"/>
      <c r="AH78" s="3"/>
      <c r="AI78" s="3"/>
      <c r="AJ78" s="3"/>
      <c r="AK78" s="3"/>
      <c r="AL78" s="3"/>
      <c r="AM78" s="3"/>
      <c r="AN78" s="3"/>
      <c r="AO78" s="3"/>
      <c r="AP78" s="3"/>
      <c r="AQ78" s="3"/>
      <c r="AR78" s="3"/>
      <c r="AS78" s="1" t="s">
        <v>80</v>
      </c>
      <c r="AT78" s="1"/>
      <c r="AU78" s="1"/>
      <c r="AV78" s="1"/>
      <c r="AW78" s="1"/>
      <c r="AX78" s="1"/>
      <c r="AY78" s="1"/>
      <c r="AZ78" s="1"/>
      <c r="BA78" s="1"/>
      <c r="BB78" s="1"/>
      <c r="BC78" s="1"/>
      <c r="BD78" s="1"/>
      <c r="BE78" s="1"/>
      <c r="BF78" s="1"/>
      <c r="BG78" s="1"/>
      <c r="BH78" s="1"/>
      <c r="BI78" s="1"/>
      <c r="BJ78" s="1"/>
      <c r="BK78" s="1"/>
    </row>
    <row r="79" spans="1:63" ht="16" thickBot="1" x14ac:dyDescent="0.25">
      <c r="A79" s="3">
        <v>78</v>
      </c>
      <c r="B79" s="25" t="s">
        <v>263</v>
      </c>
      <c r="C79" s="3" t="s">
        <v>543</v>
      </c>
      <c r="D79" s="3" t="s">
        <v>83</v>
      </c>
      <c r="E79" s="3"/>
      <c r="F79" s="3">
        <v>2022</v>
      </c>
      <c r="G79" s="3" t="s">
        <v>51</v>
      </c>
      <c r="H79" s="3" t="s">
        <v>81</v>
      </c>
      <c r="I79" s="25" t="s">
        <v>262</v>
      </c>
      <c r="J79" s="113">
        <f>Table4[[#This Row],[total_cost_npr]]*(1/'Calculations &amp; Assumptions'!$C$6)</f>
        <v>2561.9707467282524</v>
      </c>
      <c r="K79" s="113">
        <f>Table4[[#This Row],[system_cost_npr_per_kwp]]*(1/'Calculations &amp; Assumptions'!$C$6)</f>
        <v>426.99512445470867</v>
      </c>
      <c r="L79" s="23">
        <f>IF(Table4[[#This Row],[total_cost_inr]]&gt;0, Table4[[#This Row],[total_cost_inr]]*'Calculations &amp; Assumptions'!$C$7,IF(Table4[[#This Row],[total_cost_eur]]&gt;0,Table4[[#This Row],[total_cost_eur]]*'Calculations &amp; Assumptions'!$C$5,0))</f>
        <v>332800</v>
      </c>
      <c r="M79" s="77">
        <f>IF(H79="smartmeter_1ph",Table4[[#This Row],[total_cost_npr]],Table4[[#This Row],[total_cost_npr]]/Table4[[#This Row],[pv_kWp]])</f>
        <v>55466.666666666664</v>
      </c>
      <c r="N79" s="3"/>
      <c r="O79" s="3">
        <f>Table4[[#This Row],[total_cost_inr]]/Table4[[#This Row],[pv_kWp]]</f>
        <v>0</v>
      </c>
      <c r="P79" s="3">
        <v>2560</v>
      </c>
      <c r="Q79" s="3">
        <f>Table4[[#This Row],[total_cost_eur]]/Table4[[#This Row],[pv_kWp]]</f>
        <v>426.66666666666669</v>
      </c>
      <c r="R79" s="3"/>
      <c r="S79" s="3"/>
      <c r="T79" s="3">
        <v>6</v>
      </c>
      <c r="U79" s="3"/>
      <c r="V79" s="3"/>
      <c r="W79" s="3"/>
      <c r="X79" s="3"/>
      <c r="Y79" s="3"/>
      <c r="Z79" s="3"/>
      <c r="AA79" s="3"/>
      <c r="AB79" s="3"/>
      <c r="AC79" s="3"/>
      <c r="AD79" s="3"/>
      <c r="AE79" s="3"/>
      <c r="AF79" s="3"/>
      <c r="AG79" s="3"/>
      <c r="AH79" s="3"/>
      <c r="AI79" s="3"/>
      <c r="AJ79" s="3"/>
      <c r="AK79" s="3"/>
      <c r="AL79" s="3"/>
      <c r="AM79" s="3"/>
      <c r="AN79" s="3"/>
      <c r="AO79" s="3"/>
      <c r="AP79" s="3"/>
      <c r="AQ79" s="3"/>
      <c r="AR79" s="3"/>
      <c r="AS79" s="1"/>
      <c r="AT79" s="1"/>
      <c r="AU79" s="1"/>
      <c r="AV79" s="1"/>
      <c r="AW79" s="1"/>
      <c r="AX79" s="1"/>
      <c r="AY79" s="1"/>
      <c r="AZ79" s="1"/>
      <c r="BA79" s="1"/>
      <c r="BB79" s="1"/>
      <c r="BC79" s="1"/>
      <c r="BD79" s="1"/>
      <c r="BE79" s="1"/>
      <c r="BF79" s="1"/>
      <c r="BG79" s="1"/>
      <c r="BH79" s="1"/>
      <c r="BI79" s="1"/>
      <c r="BJ79" s="1"/>
      <c r="BK79" s="1"/>
    </row>
    <row r="80" spans="1:63" ht="16" thickBot="1" x14ac:dyDescent="0.25">
      <c r="A80" s="3">
        <v>79</v>
      </c>
      <c r="B80" s="25" t="s">
        <v>263</v>
      </c>
      <c r="C80" s="3" t="s">
        <v>543</v>
      </c>
      <c r="D80" s="3" t="s">
        <v>83</v>
      </c>
      <c r="E80" s="3"/>
      <c r="F80" s="3">
        <v>2022</v>
      </c>
      <c r="G80" s="3" t="s">
        <v>51</v>
      </c>
      <c r="H80" s="3" t="s">
        <v>81</v>
      </c>
      <c r="I80" s="25" t="s">
        <v>275</v>
      </c>
      <c r="J80" s="113">
        <f>Table4[[#This Row],[total_cost_npr]]*(1/'Calculations &amp; Assumptions'!$C$6)</f>
        <v>4503.4642032332558</v>
      </c>
      <c r="K80" s="113">
        <f>Table4[[#This Row],[system_cost_npr_per_kwp]]*(1/'Calculations &amp; Assumptions'!$C$6)</f>
        <v>75.05773672055426</v>
      </c>
      <c r="L80" s="23">
        <f>IF(Table4[[#This Row],[total_cost_inr]]&gt;0, Table4[[#This Row],[total_cost_inr]]*'Calculations &amp; Assumptions'!$C$7,IF(Table4[[#This Row],[total_cost_eur]]&gt;0,Table4[[#This Row],[total_cost_eur]]*'Calculations &amp; Assumptions'!$C$5,0))</f>
        <v>585000</v>
      </c>
      <c r="M80" s="77">
        <f>IF(H80="smartmeter_1ph",Table4[[#This Row],[total_cost_npr]],Table4[[#This Row],[total_cost_npr]]/Table4[[#This Row],[pv_kWp]])</f>
        <v>9750</v>
      </c>
      <c r="N80" s="3"/>
      <c r="O80" s="3">
        <f>Table4[[#This Row],[total_cost_inr]]/Table4[[#This Row],[pv_kWp]]</f>
        <v>0</v>
      </c>
      <c r="P80" s="3">
        <v>4500</v>
      </c>
      <c r="Q80" s="3">
        <f>Table4[[#This Row],[total_cost_eur]]/Table4[[#This Row],[pv_kWp]]</f>
        <v>75</v>
      </c>
      <c r="R80" s="3"/>
      <c r="S80" s="3"/>
      <c r="T80" s="3">
        <v>60</v>
      </c>
      <c r="U80" s="3"/>
      <c r="V80" s="3"/>
      <c r="W80" s="3"/>
      <c r="X80" s="3"/>
      <c r="Y80" s="3"/>
      <c r="Z80" s="3"/>
      <c r="AA80" s="3"/>
      <c r="AB80" s="3"/>
      <c r="AC80" s="3"/>
      <c r="AD80" s="3"/>
      <c r="AE80" s="3"/>
      <c r="AF80" s="3"/>
      <c r="AG80" s="3"/>
      <c r="AH80" s="3"/>
      <c r="AI80" s="3"/>
      <c r="AJ80" s="3"/>
      <c r="AK80" s="3"/>
      <c r="AL80" s="3"/>
      <c r="AM80" s="3"/>
      <c r="AN80" s="3"/>
      <c r="AO80" s="3"/>
      <c r="AP80" s="3"/>
      <c r="AQ80" s="3"/>
      <c r="AR80" s="3"/>
      <c r="AS80" s="1"/>
      <c r="AT80" s="1"/>
      <c r="AU80" s="1"/>
      <c r="AV80" s="1"/>
      <c r="AW80" s="1"/>
      <c r="AX80" s="1"/>
      <c r="AY80" s="1"/>
      <c r="AZ80" s="1"/>
      <c r="BA80" s="1"/>
      <c r="BB80" s="1"/>
      <c r="BC80" s="1"/>
      <c r="BD80" s="1"/>
      <c r="BE80" s="1"/>
      <c r="BF80" s="1"/>
      <c r="BG80" s="1"/>
      <c r="BH80" s="1"/>
      <c r="BI80" s="1"/>
      <c r="BJ80" s="1"/>
      <c r="BK80" s="1"/>
    </row>
    <row r="81" spans="1:63" ht="16" thickBot="1" x14ac:dyDescent="0.25">
      <c r="A81" s="3">
        <v>80</v>
      </c>
      <c r="B81" s="25" t="s">
        <v>263</v>
      </c>
      <c r="C81" s="3" t="s">
        <v>543</v>
      </c>
      <c r="D81" s="3" t="s">
        <v>83</v>
      </c>
      <c r="E81" s="3"/>
      <c r="F81" s="3">
        <v>2022</v>
      </c>
      <c r="G81" s="3" t="s">
        <v>51</v>
      </c>
      <c r="H81" s="3" t="s">
        <v>81</v>
      </c>
      <c r="I81" s="3" t="s">
        <v>276</v>
      </c>
      <c r="J81" s="113">
        <f>Table4[[#This Row],[total_cost_npr]]*(1/'Calculations &amp; Assumptions'!$C$6)</f>
        <v>5804.4649730561969</v>
      </c>
      <c r="K81" s="113">
        <f>Table4[[#This Row],[system_cost_npr_per_kwp]]*(1/'Calculations &amp; Assumptions'!$C$6)</f>
        <v>145.11162432640492</v>
      </c>
      <c r="L81" s="23">
        <f>IF(Table4[[#This Row],[total_cost_inr]]&gt;0, Table4[[#This Row],[total_cost_inr]]*'Calculations &amp; Assumptions'!$C$7,IF(Table4[[#This Row],[total_cost_eur]]&gt;0,Table4[[#This Row],[total_cost_eur]]*'Calculations &amp; Assumptions'!$C$5,0))</f>
        <v>754000</v>
      </c>
      <c r="M81" s="77">
        <f>IF(H81="smartmeter_1ph",Table4[[#This Row],[total_cost_npr]],Table4[[#This Row],[total_cost_npr]]/Table4[[#This Row],[pv_kWp]])</f>
        <v>18850</v>
      </c>
      <c r="N81" s="3"/>
      <c r="O81" s="3">
        <f>Table4[[#This Row],[total_cost_inr]]/Table4[[#This Row],[pv_kWp]]</f>
        <v>0</v>
      </c>
      <c r="P81" s="3">
        <v>5800</v>
      </c>
      <c r="Q81" s="3">
        <f>Table4[[#This Row],[total_cost_eur]]/Table4[[#This Row],[pv_kWp]]</f>
        <v>145</v>
      </c>
      <c r="R81" s="3"/>
      <c r="S81" s="3"/>
      <c r="T81" s="3">
        <v>40</v>
      </c>
      <c r="U81" s="3"/>
      <c r="V81" s="3"/>
      <c r="W81" s="3"/>
      <c r="X81" s="3"/>
      <c r="Y81" s="3"/>
      <c r="Z81" s="3"/>
      <c r="AA81" s="3"/>
      <c r="AB81" s="3"/>
      <c r="AC81" s="3"/>
      <c r="AD81" s="3"/>
      <c r="AE81" s="3"/>
      <c r="AF81" s="3"/>
      <c r="AG81" s="3"/>
      <c r="AH81" s="3"/>
      <c r="AI81" s="3"/>
      <c r="AJ81" s="3"/>
      <c r="AK81" s="3"/>
      <c r="AL81" s="3"/>
      <c r="AM81" s="3"/>
      <c r="AN81" s="3"/>
      <c r="AO81" s="3"/>
      <c r="AP81" s="3"/>
      <c r="AQ81" s="3"/>
      <c r="AR81" s="3"/>
      <c r="AS81" s="1"/>
      <c r="AT81" s="1"/>
      <c r="AU81" s="1"/>
      <c r="AV81" s="1"/>
      <c r="AW81" s="1"/>
      <c r="AX81" s="1"/>
      <c r="AY81" s="1"/>
      <c r="AZ81" s="1"/>
      <c r="BA81" s="1"/>
      <c r="BB81" s="1"/>
      <c r="BC81" s="1"/>
      <c r="BD81" s="1"/>
      <c r="BE81" s="1"/>
      <c r="BF81" s="1"/>
      <c r="BG81" s="1"/>
      <c r="BH81" s="1"/>
      <c r="BI81" s="1"/>
      <c r="BJ81" s="1"/>
      <c r="BK81" s="1"/>
    </row>
    <row r="82" spans="1:63" ht="16" thickBot="1" x14ac:dyDescent="0.25">
      <c r="A82" s="3">
        <v>81</v>
      </c>
      <c r="B82" s="25" t="s">
        <v>263</v>
      </c>
      <c r="C82" s="3" t="s">
        <v>543</v>
      </c>
      <c r="D82" s="3" t="s">
        <v>83</v>
      </c>
      <c r="E82" s="3"/>
      <c r="F82" s="3">
        <v>2022</v>
      </c>
      <c r="G82" s="3" t="s">
        <v>51</v>
      </c>
      <c r="H82" s="3" t="s">
        <v>81</v>
      </c>
      <c r="I82" s="3" t="s">
        <v>277</v>
      </c>
      <c r="J82" s="113">
        <f>Table4[[#This Row],[total_cost_npr]]*(1/'Calculations &amp; Assumptions'!$C$6)</f>
        <v>1901.4626635873747</v>
      </c>
      <c r="K82" s="113">
        <f>Table4[[#This Row],[system_cost_npr_per_kwp]]*(1/'Calculations &amp; Assumptions'!$C$6)</f>
        <v>190.14626635873748</v>
      </c>
      <c r="L82" s="23">
        <f>IF(Table4[[#This Row],[total_cost_inr]]&gt;0, Table4[[#This Row],[total_cost_inr]]*'Calculations &amp; Assumptions'!$C$7,IF(Table4[[#This Row],[total_cost_eur]]&gt;0,Table4[[#This Row],[total_cost_eur]]*'Calculations &amp; Assumptions'!$C$5,0))</f>
        <v>247000</v>
      </c>
      <c r="M82" s="77">
        <f>IF(H82="smartmeter_1ph",Table4[[#This Row],[total_cost_npr]],Table4[[#This Row],[total_cost_npr]]/Table4[[#This Row],[pv_kWp]])</f>
        <v>24700</v>
      </c>
      <c r="N82" s="3"/>
      <c r="O82" s="3">
        <f>Table4[[#This Row],[total_cost_inr]]/Table4[[#This Row],[pv_kWp]]</f>
        <v>0</v>
      </c>
      <c r="P82" s="3">
        <v>1900</v>
      </c>
      <c r="Q82" s="3">
        <f>Table4[[#This Row],[total_cost_eur]]/Table4[[#This Row],[pv_kWp]]</f>
        <v>190</v>
      </c>
      <c r="R82" s="3"/>
      <c r="S82" s="3"/>
      <c r="T82" s="3">
        <v>10</v>
      </c>
      <c r="U82" s="3"/>
      <c r="V82" s="3"/>
      <c r="W82" s="3"/>
      <c r="X82" s="3"/>
      <c r="Y82" s="3"/>
      <c r="Z82" s="3"/>
      <c r="AA82" s="3"/>
      <c r="AB82" s="3"/>
      <c r="AC82" s="3"/>
      <c r="AD82" s="3"/>
      <c r="AE82" s="3"/>
      <c r="AF82" s="3"/>
      <c r="AG82" s="3"/>
      <c r="AH82" s="3"/>
      <c r="AI82" s="3"/>
      <c r="AJ82" s="3"/>
      <c r="AK82" s="3"/>
      <c r="AL82" s="3"/>
      <c r="AM82" s="3"/>
      <c r="AN82" s="3"/>
      <c r="AO82" s="3"/>
      <c r="AP82" s="3"/>
      <c r="AQ82" s="3"/>
      <c r="AR82" s="3"/>
      <c r="AS82" s="1"/>
      <c r="AT82" s="1"/>
      <c r="AU82" s="1"/>
      <c r="AV82" s="1"/>
      <c r="AW82" s="1"/>
      <c r="AX82" s="1"/>
      <c r="AY82" s="1"/>
      <c r="AZ82" s="1"/>
      <c r="BA82" s="1"/>
      <c r="BB82" s="1"/>
      <c r="BC82" s="1"/>
      <c r="BD82" s="1"/>
      <c r="BE82" s="1"/>
      <c r="BF82" s="1"/>
      <c r="BG82" s="1"/>
      <c r="BH82" s="1"/>
      <c r="BI82" s="1"/>
      <c r="BJ82" s="1"/>
      <c r="BK82" s="1"/>
    </row>
    <row r="83" spans="1:63" ht="16" thickBot="1" x14ac:dyDescent="0.25">
      <c r="A83" s="3">
        <v>82</v>
      </c>
      <c r="B83" s="25" t="s">
        <v>263</v>
      </c>
      <c r="C83" s="3" t="s">
        <v>543</v>
      </c>
      <c r="D83" s="3" t="s">
        <v>83</v>
      </c>
      <c r="E83" s="3"/>
      <c r="F83" s="3">
        <v>2022</v>
      </c>
      <c r="G83" s="3" t="s">
        <v>51</v>
      </c>
      <c r="H83" s="3" t="s">
        <v>81</v>
      </c>
      <c r="I83" s="3" t="s">
        <v>278</v>
      </c>
      <c r="J83" s="113">
        <f>Table4[[#This Row],[total_cost_npr]]*(1/'Calculations &amp; Assumptions'!$C$6)</f>
        <v>1750.3464203233254</v>
      </c>
      <c r="K83" s="113">
        <f>Table4[[#This Row],[system_cost_npr_per_kwp]]*(1/'Calculations &amp; Assumptions'!$C$6)</f>
        <v>140.02771362586603</v>
      </c>
      <c r="L83" s="23">
        <f>IF(Table4[[#This Row],[total_cost_inr]]&gt;0, Table4[[#This Row],[total_cost_inr]]*'Calculations &amp; Assumptions'!$C$7,IF(Table4[[#This Row],[total_cost_eur]]&gt;0,Table4[[#This Row],[total_cost_eur]]*'Calculations &amp; Assumptions'!$C$5,0))</f>
        <v>227370</v>
      </c>
      <c r="M83" s="77">
        <f>IF(H83="smartmeter_1ph",Table4[[#This Row],[total_cost_npr]],Table4[[#This Row],[total_cost_npr]]/Table4[[#This Row],[pv_kWp]])</f>
        <v>18189.599999999999</v>
      </c>
      <c r="N83" s="3"/>
      <c r="O83" s="3">
        <f>Table4[[#This Row],[total_cost_inr]]/Table4[[#This Row],[pv_kWp]]</f>
        <v>0</v>
      </c>
      <c r="P83" s="3">
        <v>1749</v>
      </c>
      <c r="Q83" s="3">
        <f>Table4[[#This Row],[total_cost_eur]]/Table4[[#This Row],[pv_kWp]]</f>
        <v>139.91999999999999</v>
      </c>
      <c r="R83" s="3"/>
      <c r="S83" s="3"/>
      <c r="T83" s="3">
        <v>12.5</v>
      </c>
      <c r="U83" s="3"/>
      <c r="V83" s="3"/>
      <c r="W83" s="3"/>
      <c r="X83" s="3"/>
      <c r="Y83" s="3"/>
      <c r="Z83" s="3"/>
      <c r="AA83" s="3"/>
      <c r="AB83" s="3"/>
      <c r="AC83" s="3"/>
      <c r="AD83" s="3"/>
      <c r="AE83" s="3"/>
      <c r="AF83" s="3"/>
      <c r="AG83" s="3"/>
      <c r="AH83" s="3"/>
      <c r="AI83" s="3"/>
      <c r="AJ83" s="3"/>
      <c r="AK83" s="3"/>
      <c r="AL83" s="3"/>
      <c r="AM83" s="3"/>
      <c r="AN83" s="3"/>
      <c r="AO83" s="3"/>
      <c r="AP83" s="3"/>
      <c r="AQ83" s="3"/>
      <c r="AR83" s="3"/>
      <c r="AS83" s="1" t="s">
        <v>88</v>
      </c>
      <c r="AT83" s="1"/>
      <c r="AU83" s="1"/>
      <c r="AV83" s="1"/>
      <c r="AW83" s="1"/>
      <c r="AX83" s="1"/>
      <c r="AY83" s="1"/>
      <c r="AZ83" s="1"/>
      <c r="BA83" s="1"/>
      <c r="BB83" s="1"/>
      <c r="BC83" s="1"/>
      <c r="BD83" s="1"/>
      <c r="BE83" s="1"/>
      <c r="BF83" s="1"/>
      <c r="BG83" s="1"/>
      <c r="BH83" s="1"/>
      <c r="BI83" s="1"/>
      <c r="BJ83" s="1"/>
      <c r="BK83" s="1"/>
    </row>
    <row r="84" spans="1:63" ht="16" thickBot="1" x14ac:dyDescent="0.25">
      <c r="A84" s="3">
        <v>83</v>
      </c>
      <c r="B84" s="80" t="s">
        <v>281</v>
      </c>
      <c r="C84" s="3" t="s">
        <v>543</v>
      </c>
      <c r="D84" s="3" t="s">
        <v>83</v>
      </c>
      <c r="E84" s="3"/>
      <c r="F84" s="3">
        <v>2022</v>
      </c>
      <c r="G84" s="3" t="s">
        <v>51</v>
      </c>
      <c r="H84" s="3" t="s">
        <v>58</v>
      </c>
      <c r="I84" s="3" t="s">
        <v>283</v>
      </c>
      <c r="J84" s="113">
        <f>Table4[[#This Row],[total_cost_npr]]*(1/'Calculations &amp; Assumptions'!$C$6)</f>
        <v>340.261739799846</v>
      </c>
      <c r="K84" s="113">
        <f>Table4[[#This Row],[system_cost_npr_per_kwp]]*(1/'Calculations &amp; Assumptions'!$C$6)</f>
        <v>340.261739799846</v>
      </c>
      <c r="L84" s="23">
        <f>IF(Table4[[#This Row],[total_cost_inr]]&gt;0, Table4[[#This Row],[total_cost_inr]]*'Calculations &amp; Assumptions'!$C$7,IF(Table4[[#This Row],[total_cost_eur]]&gt;0,Table4[[#This Row],[total_cost_eur]]*'Calculations &amp; Assumptions'!$C$5,0))</f>
        <v>44200</v>
      </c>
      <c r="M84" s="77">
        <f>IF(H84="smartmeter_1ph",Table4[[#This Row],[total_cost_npr]],Table4[[#This Row],[total_cost_npr]]/Table4[[#This Row],[pv_kWp]])</f>
        <v>44200</v>
      </c>
      <c r="N84" s="3"/>
      <c r="O84" s="3">
        <f>Table4[[#This Row],[total_cost_inr]]/Table4[[#This Row],[pv_kWp]]</f>
        <v>0</v>
      </c>
      <c r="P84" s="3">
        <v>340</v>
      </c>
      <c r="Q84" s="3">
        <f>Table4[[#This Row],[total_cost_eur]]/Table4[[#This Row],[pv_kWp]]</f>
        <v>340</v>
      </c>
      <c r="R84" s="3"/>
      <c r="S84" s="3"/>
      <c r="T84" s="3">
        <v>1</v>
      </c>
      <c r="U84" s="3"/>
      <c r="V84" s="3"/>
      <c r="W84" s="3"/>
      <c r="X84" s="3"/>
      <c r="Y84" s="3"/>
      <c r="Z84" s="3"/>
      <c r="AA84" s="3"/>
      <c r="AB84" s="3"/>
      <c r="AC84" s="3"/>
      <c r="AD84" s="3"/>
      <c r="AE84" s="3"/>
      <c r="AF84" s="3"/>
      <c r="AG84" s="3"/>
      <c r="AH84" s="3"/>
      <c r="AI84" s="3"/>
      <c r="AJ84" s="3"/>
      <c r="AK84" s="3"/>
      <c r="AL84" s="3"/>
      <c r="AM84" s="3"/>
      <c r="AN84" s="3"/>
      <c r="AO84" s="3"/>
      <c r="AP84" s="3"/>
      <c r="AQ84" s="3"/>
      <c r="AR84" s="3"/>
      <c r="AS84" s="1"/>
      <c r="AT84" s="1"/>
      <c r="AU84" s="1"/>
      <c r="AV84" s="1"/>
      <c r="AW84" s="1"/>
      <c r="AX84" s="1"/>
      <c r="AY84" s="1"/>
      <c r="AZ84" s="1"/>
      <c r="BA84" s="1"/>
      <c r="BB84" s="1"/>
      <c r="BC84" s="1"/>
      <c r="BD84" s="1"/>
      <c r="BE84" s="1"/>
      <c r="BF84" s="1"/>
      <c r="BG84" s="1"/>
      <c r="BH84" s="1"/>
      <c r="BI84" s="1"/>
      <c r="BJ84" s="1"/>
      <c r="BK84" s="1"/>
    </row>
    <row r="85" spans="1:63" ht="16" thickBot="1" x14ac:dyDescent="0.25">
      <c r="A85" s="3">
        <v>84</v>
      </c>
      <c r="B85" s="80" t="s">
        <v>281</v>
      </c>
      <c r="C85" s="3" t="s">
        <v>543</v>
      </c>
      <c r="D85" s="3" t="s">
        <v>83</v>
      </c>
      <c r="E85" s="3"/>
      <c r="F85" s="3">
        <v>2022</v>
      </c>
      <c r="G85" s="3" t="s">
        <v>51</v>
      </c>
      <c r="H85" s="3" t="s">
        <v>58</v>
      </c>
      <c r="I85" s="3" t="s">
        <v>284</v>
      </c>
      <c r="J85" s="113">
        <f>Table4[[#This Row],[total_cost_npr]]*(1/'Calculations &amp; Assumptions'!$C$6)</f>
        <v>430.33102386451111</v>
      </c>
      <c r="K85" s="113">
        <f>Table4[[#This Row],[system_cost_npr_per_kwp]]*(1/'Calculations &amp; Assumptions'!$C$6)</f>
        <v>430.33102386451111</v>
      </c>
      <c r="L85" s="23">
        <f>IF(Table4[[#This Row],[total_cost_inr]]&gt;0, Table4[[#This Row],[total_cost_inr]]*'Calculations &amp; Assumptions'!$C$7,IF(Table4[[#This Row],[total_cost_eur]]&gt;0,Table4[[#This Row],[total_cost_eur]]*'Calculations &amp; Assumptions'!$C$5,0))</f>
        <v>55900</v>
      </c>
      <c r="M85" s="77">
        <f>IF(H85="smartmeter_1ph",Table4[[#This Row],[total_cost_npr]],Table4[[#This Row],[total_cost_npr]]/Table4[[#This Row],[pv_kWp]])</f>
        <v>55900</v>
      </c>
      <c r="N85" s="3"/>
      <c r="O85" s="3">
        <f>Table4[[#This Row],[total_cost_inr]]/Table4[[#This Row],[pv_kWp]]</f>
        <v>0</v>
      </c>
      <c r="P85" s="3">
        <v>430</v>
      </c>
      <c r="Q85" s="3">
        <f>Table4[[#This Row],[total_cost_eur]]/Table4[[#This Row],[pv_kWp]]</f>
        <v>430</v>
      </c>
      <c r="R85" s="3"/>
      <c r="S85" s="3"/>
      <c r="T85" s="3">
        <v>1</v>
      </c>
      <c r="U85" s="3"/>
      <c r="V85" s="3"/>
      <c r="W85" s="3"/>
      <c r="X85" s="3"/>
      <c r="Y85" s="3"/>
      <c r="Z85" s="3"/>
      <c r="AA85" s="3"/>
      <c r="AB85" s="3"/>
      <c r="AC85" s="3"/>
      <c r="AD85" s="3"/>
      <c r="AE85" s="3"/>
      <c r="AF85" s="3"/>
      <c r="AG85" s="3"/>
      <c r="AH85" s="3"/>
      <c r="AI85" s="3"/>
      <c r="AJ85" s="3"/>
      <c r="AK85" s="3"/>
      <c r="AL85" s="3"/>
      <c r="AM85" s="3"/>
      <c r="AN85" s="3"/>
      <c r="AO85" s="3"/>
      <c r="AP85" s="3"/>
      <c r="AQ85" s="3"/>
      <c r="AR85" s="3"/>
      <c r="AS85" s="1"/>
      <c r="AT85" s="1"/>
      <c r="AU85" s="1"/>
      <c r="AV85" s="1"/>
      <c r="AW85" s="1"/>
      <c r="AX85" s="1"/>
      <c r="AY85" s="1"/>
      <c r="AZ85" s="1"/>
      <c r="BA85" s="1"/>
      <c r="BB85" s="1"/>
      <c r="BC85" s="1"/>
      <c r="BD85" s="1"/>
      <c r="BE85" s="1"/>
      <c r="BF85" s="1"/>
      <c r="BG85" s="1"/>
      <c r="BH85" s="1"/>
      <c r="BI85" s="1"/>
      <c r="BJ85" s="1"/>
      <c r="BK85" s="1"/>
    </row>
    <row r="86" spans="1:63" ht="16" thickBot="1" x14ac:dyDescent="0.25">
      <c r="A86" s="3">
        <v>85</v>
      </c>
      <c r="B86" s="80" t="s">
        <v>281</v>
      </c>
      <c r="C86" s="3" t="s">
        <v>543</v>
      </c>
      <c r="D86" s="3" t="s">
        <v>83</v>
      </c>
      <c r="E86" s="3"/>
      <c r="F86" s="3">
        <v>2022</v>
      </c>
      <c r="G86" s="3" t="s">
        <v>51</v>
      </c>
      <c r="H86" s="3" t="s">
        <v>58</v>
      </c>
      <c r="I86" s="3" t="s">
        <v>285</v>
      </c>
      <c r="J86" s="113">
        <f>Table4[[#This Row],[total_cost_npr]]*(1/'Calculations &amp; Assumptions'!$C$6)</f>
        <v>210.16166281755196</v>
      </c>
      <c r="K86" s="113">
        <f>Table4[[#This Row],[system_cost_npr_per_kwp]]*(1/'Calculations &amp; Assumptions'!$C$6)</f>
        <v>210.16166281755196</v>
      </c>
      <c r="L86" s="23">
        <f>IF(Table4[[#This Row],[total_cost_inr]]&gt;0, Table4[[#This Row],[total_cost_inr]]*'Calculations &amp; Assumptions'!$C$7,IF(Table4[[#This Row],[total_cost_eur]]&gt;0,Table4[[#This Row],[total_cost_eur]]*'Calculations &amp; Assumptions'!$C$5,0))</f>
        <v>27300</v>
      </c>
      <c r="M86" s="77">
        <f>IF(H86="smartmeter_1ph",Table4[[#This Row],[total_cost_npr]],Table4[[#This Row],[total_cost_npr]]/Table4[[#This Row],[pv_kWp]])</f>
        <v>27300</v>
      </c>
      <c r="N86" s="3"/>
      <c r="O86" s="3">
        <f>Table4[[#This Row],[total_cost_inr]]/Table4[[#This Row],[pv_kWp]]</f>
        <v>0</v>
      </c>
      <c r="P86" s="3">
        <v>210</v>
      </c>
      <c r="Q86" s="3">
        <f>Table4[[#This Row],[total_cost_eur]]/Table4[[#This Row],[pv_kWp]]</f>
        <v>210</v>
      </c>
      <c r="R86" s="3"/>
      <c r="S86" s="3"/>
      <c r="T86" s="3">
        <v>1</v>
      </c>
      <c r="U86" s="3"/>
      <c r="V86" s="3"/>
      <c r="W86" s="3"/>
      <c r="X86" s="3"/>
      <c r="Y86" s="3"/>
      <c r="Z86" s="3"/>
      <c r="AA86" s="3"/>
      <c r="AB86" s="3"/>
      <c r="AC86" s="3"/>
      <c r="AD86" s="3"/>
      <c r="AE86" s="3"/>
      <c r="AF86" s="3"/>
      <c r="AG86" s="3"/>
      <c r="AH86" s="3"/>
      <c r="AI86" s="3"/>
      <c r="AJ86" s="3"/>
      <c r="AK86" s="3"/>
      <c r="AL86" s="3"/>
      <c r="AM86" s="3"/>
      <c r="AN86" s="3"/>
      <c r="AO86" s="3"/>
      <c r="AP86" s="3"/>
      <c r="AQ86" s="3"/>
      <c r="AR86" s="3"/>
      <c r="AS86" s="1" t="s">
        <v>88</v>
      </c>
      <c r="AT86" s="1"/>
      <c r="AU86" s="1"/>
      <c r="AV86" s="1"/>
      <c r="AW86" s="1"/>
      <c r="AX86" s="1"/>
      <c r="AY86" s="1"/>
      <c r="AZ86" s="1"/>
      <c r="BA86" s="1"/>
      <c r="BB86" s="1"/>
      <c r="BC86" s="1"/>
      <c r="BD86" s="1"/>
      <c r="BE86" s="1"/>
      <c r="BF86" s="1"/>
      <c r="BG86" s="1"/>
      <c r="BH86" s="1"/>
      <c r="BI86" s="1"/>
      <c r="BJ86" s="1"/>
      <c r="BK86" s="1"/>
    </row>
    <row r="87" spans="1:63" ht="16" thickBot="1" x14ac:dyDescent="0.25">
      <c r="A87" s="3">
        <v>86</v>
      </c>
      <c r="B87" s="80" t="s">
        <v>286</v>
      </c>
      <c r="C87" s="3" t="s">
        <v>543</v>
      </c>
      <c r="D87" s="3" t="s">
        <v>83</v>
      </c>
      <c r="E87" s="3"/>
      <c r="F87" s="3">
        <v>2022</v>
      </c>
      <c r="G87" s="3" t="s">
        <v>51</v>
      </c>
      <c r="H87" s="3" t="s">
        <v>91</v>
      </c>
      <c r="I87" s="3" t="s">
        <v>282</v>
      </c>
      <c r="J87" s="113">
        <f>Table4[[#This Row],[total_cost_npr]]*(1/'Calculations &amp; Assumptions'!$C$6)</f>
        <v>280.21555042340259</v>
      </c>
      <c r="K87" s="113">
        <f>Table4[[#This Row],[system_cost_npr_per_kwp]]*(1/'Calculations &amp; Assumptions'!$C$6)</f>
        <v>280.21555042340259</v>
      </c>
      <c r="L87" s="23">
        <f>IF(Table4[[#This Row],[total_cost_inr]]&gt;0, Table4[[#This Row],[total_cost_inr]]*'Calculations &amp; Assumptions'!$C$7,IF(Table4[[#This Row],[total_cost_eur]]&gt;0,Table4[[#This Row],[total_cost_eur]]*'Calculations &amp; Assumptions'!$C$5,0))</f>
        <v>36400</v>
      </c>
      <c r="M87" s="77">
        <f>IF(H87="smartmeter_1ph",Table4[[#This Row],[total_cost_npr]],Table4[[#This Row],[total_cost_npr]]/Table4[[#This Row],[pv_kWp]])</f>
        <v>36400</v>
      </c>
      <c r="N87" s="3"/>
      <c r="O87" s="3">
        <f>Table4[[#This Row],[total_cost_inr]]/Table4[[#This Row],[pv_kWp]]</f>
        <v>0</v>
      </c>
      <c r="P87" s="3">
        <v>280</v>
      </c>
      <c r="Q87" s="3">
        <f>Table4[[#This Row],[total_cost_eur]]/Table4[[#This Row],[pv_kWp]]</f>
        <v>280</v>
      </c>
      <c r="R87" s="3"/>
      <c r="S87" s="3"/>
      <c r="T87" s="3">
        <v>1</v>
      </c>
      <c r="U87" s="3"/>
      <c r="V87" s="3"/>
      <c r="W87" s="3"/>
      <c r="X87" s="3"/>
      <c r="Y87" s="3"/>
      <c r="Z87" s="3"/>
      <c r="AA87" s="3"/>
      <c r="AB87" s="3"/>
      <c r="AC87" s="3"/>
      <c r="AD87" s="3"/>
      <c r="AE87" s="3"/>
      <c r="AF87" s="3"/>
      <c r="AG87" s="3"/>
      <c r="AH87" s="3"/>
      <c r="AI87" s="3"/>
      <c r="AJ87" s="3"/>
      <c r="AK87" s="3"/>
      <c r="AL87" s="3"/>
      <c r="AM87" s="3"/>
      <c r="AN87" s="3"/>
      <c r="AO87" s="3"/>
      <c r="AP87" s="3"/>
      <c r="AQ87" s="3"/>
      <c r="AR87" s="3"/>
      <c r="AS87" s="1"/>
      <c r="AT87" s="1"/>
      <c r="AU87" s="1"/>
      <c r="AV87" s="1"/>
      <c r="AW87" s="1"/>
      <c r="AX87" s="1"/>
      <c r="AY87" s="1"/>
      <c r="AZ87" s="1"/>
      <c r="BA87" s="1"/>
      <c r="BB87" s="1"/>
      <c r="BC87" s="1"/>
      <c r="BD87" s="1"/>
      <c r="BE87" s="1"/>
      <c r="BF87" s="1"/>
      <c r="BG87" s="1"/>
      <c r="BH87" s="1"/>
      <c r="BI87" s="1"/>
      <c r="BJ87" s="1"/>
      <c r="BK87" s="1"/>
    </row>
    <row r="88" spans="1:63" ht="16" thickBot="1" x14ac:dyDescent="0.25">
      <c r="A88" s="3">
        <v>87</v>
      </c>
      <c r="B88" s="82" t="s">
        <v>287</v>
      </c>
      <c r="C88" s="3" t="s">
        <v>543</v>
      </c>
      <c r="D88" s="3" t="s">
        <v>83</v>
      </c>
      <c r="E88" s="3"/>
      <c r="F88" s="3">
        <v>2022</v>
      </c>
      <c r="G88" s="3" t="s">
        <v>51</v>
      </c>
      <c r="H88" s="3" t="s">
        <v>81</v>
      </c>
      <c r="I88" s="3" t="s">
        <v>288</v>
      </c>
      <c r="J88" s="113">
        <f>Table4[[#This Row],[total_cost_npr]]*(1/'Calculations &amp; Assumptions'!$C$6)</f>
        <v>1150.8852963818322</v>
      </c>
      <c r="K88" s="113">
        <f>Table4[[#This Row],[system_cost_npr_per_kwp]]*(1/'Calculations &amp; Assumptions'!$C$6)</f>
        <v>230.17705927636641</v>
      </c>
      <c r="L88" s="23">
        <f>IF(Table4[[#This Row],[total_cost_inr]]&gt;0, Table4[[#This Row],[total_cost_inr]]*'Calculations &amp; Assumptions'!$C$7,IF(Table4[[#This Row],[total_cost_eur]]&gt;0,Table4[[#This Row],[total_cost_eur]]*'Calculations &amp; Assumptions'!$C$5,0))</f>
        <v>149500</v>
      </c>
      <c r="M88" s="77">
        <f>IF(H88="smartmeter_1ph",Table4[[#This Row],[total_cost_npr]],Table4[[#This Row],[total_cost_npr]]/Table4[[#This Row],[pv_kWp]])</f>
        <v>29900</v>
      </c>
      <c r="N88" s="3"/>
      <c r="O88" s="3">
        <f>Table4[[#This Row],[total_cost_inr]]/Table4[[#This Row],[pv_kWp]]</f>
        <v>0</v>
      </c>
      <c r="P88" s="3">
        <f>230*5</f>
        <v>1150</v>
      </c>
      <c r="Q88" s="3">
        <f>Table4[[#This Row],[total_cost_eur]]/Table4[[#This Row],[pv_kWp]]</f>
        <v>230</v>
      </c>
      <c r="R88" s="3"/>
      <c r="S88" s="3"/>
      <c r="T88" s="3">
        <v>5</v>
      </c>
      <c r="U88" s="3"/>
      <c r="V88" s="3"/>
      <c r="W88" s="3"/>
      <c r="X88" s="3"/>
      <c r="Y88" s="3"/>
      <c r="Z88" s="3"/>
      <c r="AA88" s="3"/>
      <c r="AB88" s="3"/>
      <c r="AC88" s="3"/>
      <c r="AD88" s="3"/>
      <c r="AE88" s="3"/>
      <c r="AF88" s="3"/>
      <c r="AG88" s="3"/>
      <c r="AH88" s="3"/>
      <c r="AI88" s="3"/>
      <c r="AJ88" s="3"/>
      <c r="AK88" s="3"/>
      <c r="AL88" s="3"/>
      <c r="AM88" s="3"/>
      <c r="AN88" s="3"/>
      <c r="AO88" s="3"/>
      <c r="AP88" s="3"/>
      <c r="AQ88" s="3"/>
      <c r="AR88" s="3"/>
      <c r="AS88" s="1"/>
      <c r="AT88" s="1"/>
      <c r="AU88" s="1"/>
      <c r="AV88" s="1"/>
      <c r="AW88" s="1"/>
      <c r="AX88" s="1"/>
      <c r="AY88" s="1"/>
      <c r="AZ88" s="1"/>
      <c r="BA88" s="1"/>
      <c r="BB88" s="1"/>
      <c r="BC88" s="1"/>
      <c r="BD88" s="1"/>
      <c r="BE88" s="1"/>
      <c r="BF88" s="1"/>
      <c r="BG88" s="1"/>
      <c r="BH88" s="1"/>
      <c r="BI88" s="1"/>
      <c r="BJ88" s="1"/>
      <c r="BK88" s="1"/>
    </row>
    <row r="89" spans="1:63" ht="16" thickBot="1" x14ac:dyDescent="0.25">
      <c r="A89" s="3">
        <v>88</v>
      </c>
      <c r="B89" s="82" t="s">
        <v>287</v>
      </c>
      <c r="C89" s="3" t="s">
        <v>543</v>
      </c>
      <c r="D89" s="3" t="s">
        <v>83</v>
      </c>
      <c r="E89" s="3"/>
      <c r="F89" s="3">
        <v>2022</v>
      </c>
      <c r="G89" s="1" t="s">
        <v>51</v>
      </c>
      <c r="H89" s="1" t="s">
        <v>81</v>
      </c>
      <c r="I89" s="3" t="s">
        <v>289</v>
      </c>
      <c r="J89" s="113">
        <f>Table4[[#This Row],[total_cost_npr]]*(1/'Calculations &amp; Assumptions'!$C$6)</f>
        <v>1661.277906081601</v>
      </c>
      <c r="K89" s="113">
        <f>Table4[[#This Row],[system_cost_npr_per_kwp]]*(1/'Calculations &amp; Assumptions'!$C$6)</f>
        <v>166.1277906081601</v>
      </c>
      <c r="L89" s="23">
        <f>IF(Table4[[#This Row],[total_cost_inr]]&gt;0, Table4[[#This Row],[total_cost_inr]]*'Calculations &amp; Assumptions'!$C$7,IF(Table4[[#This Row],[total_cost_eur]]&gt;0,Table4[[#This Row],[total_cost_eur]]*'Calculations &amp; Assumptions'!$C$5,0))</f>
        <v>215800</v>
      </c>
      <c r="M89" s="77">
        <f>IF(H89="smartmeter_1ph",Table4[[#This Row],[total_cost_npr]],Table4[[#This Row],[total_cost_npr]]/Table4[[#This Row],[pv_kWp]])</f>
        <v>21580</v>
      </c>
      <c r="N89" s="3"/>
      <c r="O89" s="3">
        <f>Table4[[#This Row],[total_cost_inr]]/Table4[[#This Row],[pv_kWp]]</f>
        <v>0</v>
      </c>
      <c r="P89" s="3">
        <f>166*10</f>
        <v>1660</v>
      </c>
      <c r="Q89" s="3">
        <f>Table4[[#This Row],[total_cost_eur]]/Table4[[#This Row],[pv_kWp]]</f>
        <v>166</v>
      </c>
      <c r="R89" s="3"/>
      <c r="S89" s="3"/>
      <c r="T89" s="3">
        <v>10</v>
      </c>
      <c r="U89" s="3"/>
      <c r="V89" s="3"/>
      <c r="W89" s="3"/>
      <c r="X89" s="3"/>
      <c r="Y89" s="3"/>
      <c r="Z89" s="3"/>
      <c r="AA89" s="3"/>
      <c r="AB89" s="3"/>
      <c r="AC89" s="3"/>
      <c r="AD89" s="3"/>
      <c r="AE89" s="3"/>
      <c r="AF89" s="3"/>
      <c r="AG89" s="3"/>
      <c r="AH89" s="3"/>
      <c r="AI89" s="3"/>
      <c r="AJ89" s="3"/>
      <c r="AK89" s="3"/>
      <c r="AL89" s="3"/>
      <c r="AM89" s="3"/>
      <c r="AN89" s="3"/>
      <c r="AO89" s="3"/>
      <c r="AP89" s="3"/>
      <c r="AQ89" s="3"/>
      <c r="AR89" s="3"/>
      <c r="AS89" s="1"/>
      <c r="AT89" s="1"/>
      <c r="AU89" s="1"/>
      <c r="AV89" s="1"/>
      <c r="AW89" s="1"/>
      <c r="AX89" s="1"/>
      <c r="AY89" s="1"/>
      <c r="AZ89" s="1"/>
      <c r="BA89" s="1"/>
      <c r="BB89" s="1"/>
      <c r="BC89" s="1"/>
      <c r="BD89" s="1"/>
      <c r="BE89" s="1"/>
      <c r="BF89" s="1"/>
      <c r="BG89" s="1"/>
      <c r="BH89" s="1"/>
      <c r="BI89" s="1"/>
      <c r="BJ89" s="1"/>
      <c r="BK89" s="1"/>
    </row>
    <row r="90" spans="1:63" ht="33" thickBot="1" x14ac:dyDescent="0.25">
      <c r="A90" s="3">
        <v>89</v>
      </c>
      <c r="B90" s="24" t="s">
        <v>287</v>
      </c>
      <c r="C90" s="3" t="s">
        <v>543</v>
      </c>
      <c r="D90" s="3" t="s">
        <v>83</v>
      </c>
      <c r="E90" s="3"/>
      <c r="F90" s="3">
        <v>2022</v>
      </c>
      <c r="G90" s="3" t="s">
        <v>51</v>
      </c>
      <c r="H90" s="1" t="s">
        <v>81</v>
      </c>
      <c r="I90" s="3" t="s">
        <v>290</v>
      </c>
      <c r="J90" s="113">
        <f>Table4[[#This Row],[total_cost_npr]]*(1/'Calculations &amp; Assumptions'!$C$6)</f>
        <v>7405.6966897613538</v>
      </c>
      <c r="K90" s="113">
        <f>Table4[[#This Row],[system_cost_npr_per_kwp]]*(1/'Calculations &amp; Assumptions'!$C$6)</f>
        <v>74.056966897613549</v>
      </c>
      <c r="L90" s="23">
        <f>IF(Table4[[#This Row],[total_cost_inr]]&gt;0, Table4[[#This Row],[total_cost_inr]]*'Calculations &amp; Assumptions'!$C$7,IF(Table4[[#This Row],[total_cost_eur]]&gt;0,Table4[[#This Row],[total_cost_eur]]*'Calculations &amp; Assumptions'!$C$5,0))</f>
        <v>962000</v>
      </c>
      <c r="M90" s="77">
        <f>IF(H90="smartmeter_1ph",Table4[[#This Row],[total_cost_npr]],Table4[[#This Row],[total_cost_npr]]/Table4[[#This Row],[pv_kWp]])</f>
        <v>9620</v>
      </c>
      <c r="N90" s="3"/>
      <c r="O90" s="3">
        <f>Table4[[#This Row],[total_cost_inr]]/Table4[[#This Row],[pv_kWp]]</f>
        <v>0</v>
      </c>
      <c r="P90" s="3">
        <f>74*100</f>
        <v>7400</v>
      </c>
      <c r="Q90" s="3">
        <f>Table4[[#This Row],[total_cost_eur]]/Table4[[#This Row],[pv_kWp]]</f>
        <v>74</v>
      </c>
      <c r="R90" s="3"/>
      <c r="S90" s="3"/>
      <c r="T90" s="3">
        <v>100</v>
      </c>
      <c r="U90" s="3"/>
      <c r="V90" s="3"/>
      <c r="W90" s="3"/>
      <c r="X90" s="3"/>
      <c r="Y90" s="3"/>
      <c r="Z90" s="3"/>
      <c r="AA90" s="3"/>
      <c r="AB90" s="3"/>
      <c r="AC90" s="3"/>
      <c r="AD90" s="3"/>
      <c r="AE90" s="3"/>
      <c r="AF90" s="3"/>
      <c r="AG90" s="3"/>
      <c r="AH90" s="3"/>
      <c r="AI90" s="3"/>
      <c r="AJ90" s="3"/>
      <c r="AK90" s="3"/>
      <c r="AL90" s="3"/>
      <c r="AM90" s="3"/>
      <c r="AN90" s="3"/>
      <c r="AO90" s="3"/>
      <c r="AP90" s="3"/>
      <c r="AQ90" s="3"/>
      <c r="AR90" s="3"/>
      <c r="AS90" s="1"/>
      <c r="AT90" s="1"/>
      <c r="AU90" s="1"/>
      <c r="AV90" s="1"/>
      <c r="AW90" s="1"/>
      <c r="AX90" s="1"/>
      <c r="AY90" s="1"/>
      <c r="AZ90" s="1"/>
      <c r="BA90" s="1"/>
      <c r="BB90" s="1"/>
      <c r="BC90" s="1"/>
      <c r="BD90" s="1"/>
      <c r="BE90" s="1"/>
      <c r="BF90" s="1"/>
      <c r="BG90" s="1"/>
      <c r="BH90" s="1"/>
      <c r="BI90" s="1"/>
      <c r="BJ90" s="1"/>
      <c r="BK90" s="1"/>
    </row>
    <row r="91" spans="1:63" ht="16" thickBot="1" x14ac:dyDescent="0.25">
      <c r="A91" s="3">
        <v>90</v>
      </c>
      <c r="B91" s="26" t="s">
        <v>428</v>
      </c>
      <c r="C91" s="3" t="s">
        <v>543</v>
      </c>
      <c r="D91" s="3" t="s">
        <v>83</v>
      </c>
      <c r="E91" s="3"/>
      <c r="F91" s="3">
        <v>2022</v>
      </c>
      <c r="G91" s="3" t="s">
        <v>51</v>
      </c>
      <c r="H91" s="1" t="s">
        <v>91</v>
      </c>
      <c r="I91" s="25" t="s">
        <v>429</v>
      </c>
      <c r="J91" s="113">
        <f>Table4[[#This Row],[total_cost_npr]]*(1/'Calculations &amp; Assumptions'!$C$6)</f>
        <v>6148.7297921478057</v>
      </c>
      <c r="K91" s="113">
        <f>Table4[[#This Row],[system_cost_npr_per_kwp]]*(1/'Calculations &amp; Assumptions'!$C$6)</f>
        <v>1024.788298691301</v>
      </c>
      <c r="L91" s="23">
        <f>IF(Table4[[#This Row],[total_cost_inr]]&gt;0, Table4[[#This Row],[total_cost_inr]]*'Calculations &amp; Assumptions'!$C$7,IF(Table4[[#This Row],[total_cost_eur]]&gt;0,Table4[[#This Row],[total_cost_eur]]*'Calculations &amp; Assumptions'!$C$5,0))</f>
        <v>798720</v>
      </c>
      <c r="M91" s="77">
        <f>IF(H91="smartmeter_1ph",Table4[[#This Row],[total_cost_npr]],Table4[[#This Row],[total_cost_npr]]/Table4[[#This Row],[pv_kWp]])</f>
        <v>133120</v>
      </c>
      <c r="N91" s="3"/>
      <c r="O91" s="3">
        <f>Table4[[#This Row],[total_cost_inr]]/Table4[[#This Row],[pv_kWp]]</f>
        <v>0</v>
      </c>
      <c r="P91" s="16">
        <v>6144</v>
      </c>
      <c r="Q91" s="3">
        <f>Table4[[#This Row],[total_cost_eur]]/Table4[[#This Row],[pv_kWp]]</f>
        <v>1024</v>
      </c>
      <c r="R91" s="3"/>
      <c r="S91" s="3"/>
      <c r="T91" s="3">
        <v>6</v>
      </c>
      <c r="U91" s="3"/>
      <c r="V91" s="3"/>
      <c r="W91" s="3"/>
      <c r="X91" s="3"/>
      <c r="Y91" s="78"/>
      <c r="Z91" s="78"/>
      <c r="AA91" s="78"/>
      <c r="AB91" s="78"/>
      <c r="AC91" s="78"/>
      <c r="AD91" s="78"/>
      <c r="AE91" s="78"/>
      <c r="AF91" s="78"/>
      <c r="AG91" s="78"/>
      <c r="AH91" s="78"/>
      <c r="AI91" s="78"/>
      <c r="AJ91" s="78"/>
      <c r="AK91" s="78"/>
      <c r="AL91" s="78"/>
      <c r="AM91" s="78"/>
      <c r="AN91" s="78"/>
      <c r="AO91" s="78"/>
      <c r="AP91" s="78"/>
      <c r="AQ91" s="78"/>
      <c r="AR91" s="78"/>
      <c r="AS91" s="1"/>
      <c r="AT91" s="1"/>
      <c r="AU91" s="1"/>
      <c r="AV91" s="1"/>
      <c r="AW91" s="1"/>
      <c r="AX91" s="1"/>
      <c r="AY91" s="1"/>
      <c r="AZ91" s="1"/>
      <c r="BA91" s="1"/>
      <c r="BB91" s="1"/>
      <c r="BC91" s="1"/>
      <c r="BD91" s="1"/>
      <c r="BE91" s="1"/>
      <c r="BF91" s="1"/>
      <c r="BG91" s="1"/>
      <c r="BH91" s="1"/>
      <c r="BI91" s="1"/>
      <c r="BJ91" s="1"/>
      <c r="BK91" s="1"/>
    </row>
    <row r="92" spans="1:63" ht="16" thickBot="1" x14ac:dyDescent="0.25">
      <c r="A92" s="3">
        <v>91</v>
      </c>
      <c r="B92" s="28" t="s">
        <v>430</v>
      </c>
      <c r="C92" s="3" t="s">
        <v>543</v>
      </c>
      <c r="D92" s="3" t="s">
        <v>83</v>
      </c>
      <c r="E92" s="3"/>
      <c r="F92" s="3">
        <v>2022</v>
      </c>
      <c r="G92" s="3" t="s">
        <v>51</v>
      </c>
      <c r="H92" s="1" t="s">
        <v>91</v>
      </c>
      <c r="I92" s="25" t="s">
        <v>431</v>
      </c>
      <c r="J92" s="113">
        <f>Table4[[#This Row],[total_cost_npr]]*(1/'Calculations &amp; Assumptions'!$C$6)</f>
        <v>7804.0030792917623</v>
      </c>
      <c r="K92" s="113">
        <f>Table4[[#This Row],[system_cost_npr_per_kwp]]*(1/'Calculations &amp; Assumptions'!$C$6)</f>
        <v>1300.6671798819602</v>
      </c>
      <c r="L92" s="23">
        <f>IF(Table4[[#This Row],[total_cost_inr]]&gt;0, Table4[[#This Row],[total_cost_inr]]*'Calculations &amp; Assumptions'!$C$7,IF(Table4[[#This Row],[total_cost_eur]]&gt;0,Table4[[#This Row],[total_cost_eur]]*'Calculations &amp; Assumptions'!$C$5,0))</f>
        <v>1013740</v>
      </c>
      <c r="M92" s="77">
        <f>IF(H92="smartmeter_1ph",Table4[[#This Row],[total_cost_npr]],Table4[[#This Row],[total_cost_npr]]/Table4[[#This Row],[pv_kWp]])</f>
        <v>168956.66666666666</v>
      </c>
      <c r="N92" s="3"/>
      <c r="O92" s="3">
        <f>Table4[[#This Row],[total_cost_inr]]/Table4[[#This Row],[pv_kWp]]</f>
        <v>0</v>
      </c>
      <c r="P92" s="16">
        <v>7798</v>
      </c>
      <c r="Q92" s="3">
        <f>Table4[[#This Row],[total_cost_eur]]/Table4[[#This Row],[pv_kWp]]</f>
        <v>1299.6666666666667</v>
      </c>
      <c r="R92" s="3"/>
      <c r="S92" s="3"/>
      <c r="T92" s="3">
        <v>6</v>
      </c>
      <c r="U92" s="3"/>
      <c r="V92" s="3"/>
      <c r="W92" s="3"/>
      <c r="X92" s="3"/>
      <c r="Y92" s="78"/>
      <c r="Z92" s="78"/>
      <c r="AA92" s="78"/>
      <c r="AB92" s="78"/>
      <c r="AC92" s="78"/>
      <c r="AD92" s="78"/>
      <c r="AE92" s="78"/>
      <c r="AF92" s="78"/>
      <c r="AG92" s="78"/>
      <c r="AH92" s="78"/>
      <c r="AI92" s="78"/>
      <c r="AJ92" s="78"/>
      <c r="AK92" s="78"/>
      <c r="AL92" s="78"/>
      <c r="AM92" s="78"/>
      <c r="AN92" s="78"/>
      <c r="AO92" s="78"/>
      <c r="AP92" s="78"/>
      <c r="AQ92" s="78"/>
      <c r="AR92" s="78"/>
      <c r="AS92" s="1"/>
      <c r="AT92" s="1"/>
      <c r="AU92" s="1"/>
      <c r="AV92" s="1"/>
      <c r="AW92" s="1"/>
      <c r="AX92" s="1"/>
      <c r="AY92" s="1"/>
      <c r="AZ92" s="1"/>
      <c r="BA92" s="1"/>
      <c r="BB92" s="1"/>
      <c r="BC92" s="1"/>
      <c r="BD92" s="1"/>
      <c r="BE92" s="1"/>
      <c r="BF92" s="1"/>
      <c r="BG92" s="1"/>
      <c r="BH92" s="1"/>
      <c r="BI92" s="1"/>
      <c r="BJ92" s="1"/>
      <c r="BK92" s="1"/>
    </row>
    <row r="93" spans="1:63" ht="16" thickBot="1" x14ac:dyDescent="0.25">
      <c r="A93" s="3">
        <v>92</v>
      </c>
      <c r="B93" s="25" t="s">
        <v>432</v>
      </c>
      <c r="C93" s="3" t="s">
        <v>543</v>
      </c>
      <c r="D93" s="3" t="s">
        <v>83</v>
      </c>
      <c r="E93" s="3"/>
      <c r="F93" s="3">
        <v>2022</v>
      </c>
      <c r="G93" s="3" t="s">
        <v>51</v>
      </c>
      <c r="H93" s="1" t="s">
        <v>91</v>
      </c>
      <c r="I93" s="25" t="s">
        <v>433</v>
      </c>
      <c r="J93" s="113">
        <f>Table4[[#This Row],[total_cost_npr]]*(1/'Calculations &amp; Assumptions'!$C$6)</f>
        <v>7355.6581986143183</v>
      </c>
      <c r="K93" s="113">
        <f>Table4[[#This Row],[system_cost_npr_per_kwp]]*(1/'Calculations &amp; Assumptions'!$C$6)</f>
        <v>1225.9430331023864</v>
      </c>
      <c r="L93" s="23">
        <f>IF(Table4[[#This Row],[total_cost_inr]]&gt;0, Table4[[#This Row],[total_cost_inr]]*'Calculations &amp; Assumptions'!$C$7,IF(Table4[[#This Row],[total_cost_eur]]&gt;0,Table4[[#This Row],[total_cost_eur]]*'Calculations &amp; Assumptions'!$C$5,0))</f>
        <v>955500</v>
      </c>
      <c r="M93" s="77">
        <f>IF(H93="smartmeter_1ph",Table4[[#This Row],[total_cost_npr]],Table4[[#This Row],[total_cost_npr]]/Table4[[#This Row],[pv_kWp]])</f>
        <v>159250</v>
      </c>
      <c r="N93" s="3"/>
      <c r="O93" s="3">
        <f>Table4[[#This Row],[total_cost_inr]]/Table4[[#This Row],[pv_kWp]]</f>
        <v>0</v>
      </c>
      <c r="P93" s="3">
        <v>7350</v>
      </c>
      <c r="Q93" s="3">
        <f>Table4[[#This Row],[total_cost_eur]]/Table4[[#This Row],[pv_kWp]]</f>
        <v>1225</v>
      </c>
      <c r="R93" s="3"/>
      <c r="S93" s="3"/>
      <c r="T93" s="3">
        <v>6</v>
      </c>
      <c r="U93" s="3"/>
      <c r="V93" s="3"/>
      <c r="W93" s="3"/>
      <c r="X93" s="3"/>
      <c r="Y93" s="78"/>
      <c r="Z93" s="78"/>
      <c r="AA93" s="78"/>
      <c r="AB93" s="78"/>
      <c r="AC93" s="78"/>
      <c r="AD93" s="78"/>
      <c r="AE93" s="78"/>
      <c r="AF93" s="78"/>
      <c r="AG93" s="78"/>
      <c r="AH93" s="78"/>
      <c r="AI93" s="78"/>
      <c r="AJ93" s="78"/>
      <c r="AK93" s="78"/>
      <c r="AL93" s="78"/>
      <c r="AM93" s="78"/>
      <c r="AN93" s="78"/>
      <c r="AO93" s="78"/>
      <c r="AP93" s="78"/>
      <c r="AQ93" s="78"/>
      <c r="AR93" s="78"/>
      <c r="AS93" s="1"/>
      <c r="AT93" s="1"/>
      <c r="AU93" s="1"/>
      <c r="AV93" s="1"/>
      <c r="AW93" s="1"/>
      <c r="AX93" s="1"/>
      <c r="AY93" s="1"/>
      <c r="AZ93" s="1"/>
      <c r="BA93" s="1"/>
      <c r="BB93" s="1"/>
      <c r="BC93" s="1"/>
      <c r="BD93" s="1"/>
      <c r="BE93" s="1"/>
      <c r="BF93" s="1"/>
      <c r="BG93" s="1"/>
      <c r="BH93" s="1"/>
      <c r="BI93" s="1"/>
      <c r="BJ93" s="1"/>
      <c r="BK93" s="1"/>
    </row>
    <row r="94" spans="1:63" ht="16" thickBot="1" x14ac:dyDescent="0.25">
      <c r="A94" s="3">
        <v>93</v>
      </c>
      <c r="B94" s="83" t="s">
        <v>434</v>
      </c>
      <c r="C94" s="3" t="s">
        <v>543</v>
      </c>
      <c r="D94" s="3" t="s">
        <v>83</v>
      </c>
      <c r="E94" s="3"/>
      <c r="F94" s="3">
        <v>2022</v>
      </c>
      <c r="G94" s="3" t="s">
        <v>51</v>
      </c>
      <c r="H94" s="1" t="s">
        <v>91</v>
      </c>
      <c r="I94" s="25" t="s">
        <v>435</v>
      </c>
      <c r="J94" s="113">
        <f>Table4[[#This Row],[total_cost_npr]]*(1/'Calculations &amp; Assumptions'!$C$6)</f>
        <v>3715.8583525789063</v>
      </c>
      <c r="K94" s="113">
        <f>Table4[[#This Row],[system_cost_npr_per_kwp]]*(1/'Calculations &amp; Assumptions'!$C$6)</f>
        <v>571.67051578137023</v>
      </c>
      <c r="L94" s="23">
        <f>IF(Table4[[#This Row],[total_cost_inr]]&gt;0, Table4[[#This Row],[total_cost_inr]]*'Calculations &amp; Assumptions'!$C$7,IF(Table4[[#This Row],[total_cost_eur]]&gt;0,Table4[[#This Row],[total_cost_eur]]*'Calculations &amp; Assumptions'!$C$5,0))</f>
        <v>482690</v>
      </c>
      <c r="M94" s="77">
        <f>IF(H94="smartmeter_1ph",Table4[[#This Row],[total_cost_npr]],Table4[[#This Row],[total_cost_npr]]/Table4[[#This Row],[pv_kWp]])</f>
        <v>74260</v>
      </c>
      <c r="N94" s="3"/>
      <c r="O94" s="3">
        <f>Table4[[#This Row],[total_cost_inr]]/Table4[[#This Row],[pv_kWp]]</f>
        <v>0</v>
      </c>
      <c r="P94" s="79">
        <v>3713</v>
      </c>
      <c r="Q94" s="3">
        <f>Table4[[#This Row],[total_cost_eur]]/Table4[[#This Row],[pv_kWp]]</f>
        <v>571.23076923076928</v>
      </c>
      <c r="R94" s="3"/>
      <c r="S94" s="3"/>
      <c r="T94" s="3">
        <v>6.5</v>
      </c>
      <c r="U94" s="3"/>
      <c r="V94" s="3"/>
      <c r="W94" s="3"/>
      <c r="X94" s="3"/>
      <c r="Y94" s="78"/>
      <c r="Z94" s="78"/>
      <c r="AA94" s="78"/>
      <c r="AB94" s="78"/>
      <c r="AC94" s="78"/>
      <c r="AD94" s="78"/>
      <c r="AE94" s="78"/>
      <c r="AF94" s="78"/>
      <c r="AG94" s="78"/>
      <c r="AH94" s="78"/>
      <c r="AI94" s="78"/>
      <c r="AJ94" s="78"/>
      <c r="AK94" s="78"/>
      <c r="AL94" s="78"/>
      <c r="AM94" s="78"/>
      <c r="AN94" s="78"/>
      <c r="AO94" s="78"/>
      <c r="AP94" s="78"/>
      <c r="AQ94" s="78"/>
      <c r="AR94" s="78"/>
      <c r="AS94" s="1"/>
      <c r="AT94" s="1"/>
      <c r="AU94" s="1"/>
      <c r="AV94" s="1"/>
      <c r="AW94" s="1"/>
      <c r="AX94" s="1"/>
      <c r="AY94" s="1"/>
      <c r="AZ94" s="1"/>
      <c r="BA94" s="1"/>
      <c r="BB94" s="1"/>
      <c r="BC94" s="1"/>
      <c r="BD94" s="1"/>
      <c r="BE94" s="1"/>
      <c r="BF94" s="1"/>
      <c r="BG94" s="1"/>
      <c r="BH94" s="1"/>
      <c r="BI94" s="1"/>
      <c r="BJ94" s="1"/>
      <c r="BK94" s="1"/>
    </row>
    <row r="95" spans="1:63" ht="16" thickBot="1" x14ac:dyDescent="0.25">
      <c r="A95" s="3">
        <v>94</v>
      </c>
      <c r="B95" s="25" t="s">
        <v>436</v>
      </c>
      <c r="C95" s="3" t="s">
        <v>543</v>
      </c>
      <c r="D95" s="3" t="s">
        <v>40</v>
      </c>
      <c r="E95" s="3"/>
      <c r="F95" s="3">
        <v>2022</v>
      </c>
      <c r="G95" s="3" t="s">
        <v>51</v>
      </c>
      <c r="H95" s="1" t="s">
        <v>52</v>
      </c>
      <c r="I95" s="25" t="s">
        <v>437</v>
      </c>
      <c r="J95" s="113">
        <f>Table4[[#This Row],[total_cost_npr]]*(1/'Calculations &amp; Assumptions'!$C$6)</f>
        <v>29.561200923787528</v>
      </c>
      <c r="K95" s="113">
        <f>Table4[[#This Row],[system_cost_npr_per_kwp]]*(1/'Calculations &amp; Assumptions'!$C$6)</f>
        <v>29.561200923787528</v>
      </c>
      <c r="L95" s="23">
        <f>IF(Table4[[#This Row],[total_cost_inr]]&gt;0, Table4[[#This Row],[total_cost_inr]]*'Calculations &amp; Assumptions'!$C$7,IF(Table4[[#This Row],[total_cost_eur]]&gt;0,Table4[[#This Row],[total_cost_eur]]*'Calculations &amp; Assumptions'!$C$5,0))</f>
        <v>3840</v>
      </c>
      <c r="M95" s="77">
        <f>IF(H95="smartmeter_1ph",Table4[[#This Row],[total_cost_npr]],Table4[[#This Row],[total_cost_npr]]/Table4[[#This Row],[pv_kWp]])</f>
        <v>3840</v>
      </c>
      <c r="N95" s="3">
        <v>2400</v>
      </c>
      <c r="O95" s="3"/>
      <c r="P95" s="3"/>
      <c r="Q95" s="3" t="e">
        <f>Table4[[#This Row],[total_cost_eur]]/Table4[[#This Row],[pv_kWp]]</f>
        <v>#DIV/0!</v>
      </c>
      <c r="R95" s="3"/>
      <c r="S95" s="3"/>
      <c r="T95" s="3"/>
      <c r="U95" s="3"/>
      <c r="V95" s="3"/>
      <c r="W95" s="3"/>
      <c r="X95" s="3"/>
      <c r="Y95" s="78"/>
      <c r="Z95" s="78"/>
      <c r="AA95" s="78"/>
      <c r="AB95" s="78"/>
      <c r="AC95" s="78"/>
      <c r="AD95" s="78"/>
      <c r="AE95" s="78"/>
      <c r="AF95" s="78"/>
      <c r="AG95" s="78"/>
      <c r="AH95" s="78"/>
      <c r="AI95" s="78"/>
      <c r="AJ95" s="78"/>
      <c r="AK95" s="78"/>
      <c r="AL95" s="78"/>
      <c r="AM95" s="78"/>
      <c r="AN95" s="78"/>
      <c r="AO95" s="78"/>
      <c r="AP95" s="78"/>
      <c r="AQ95" s="78"/>
      <c r="AR95" s="78"/>
      <c r="AS95" s="1"/>
      <c r="AT95" s="1"/>
      <c r="AU95" s="1"/>
      <c r="AV95" s="1"/>
      <c r="AW95" s="1"/>
      <c r="AX95" s="1"/>
      <c r="AY95" s="1"/>
      <c r="AZ95" s="1"/>
      <c r="BA95" s="1"/>
      <c r="BB95" s="1"/>
      <c r="BC95" s="1"/>
      <c r="BD95" s="1"/>
      <c r="BE95" s="1"/>
      <c r="BF95" s="1"/>
      <c r="BG95" s="1"/>
      <c r="BH95" s="1"/>
      <c r="BI95" s="1"/>
      <c r="BJ95" s="1"/>
      <c r="BK95" s="1"/>
    </row>
    <row r="96" spans="1:63" ht="16" thickBot="1" x14ac:dyDescent="0.25">
      <c r="A96" s="3">
        <v>95</v>
      </c>
      <c r="B96" s="25" t="s">
        <v>438</v>
      </c>
      <c r="C96" s="3" t="s">
        <v>543</v>
      </c>
      <c r="D96" s="3" t="s">
        <v>40</v>
      </c>
      <c r="E96" s="3"/>
      <c r="F96" s="3">
        <v>2022</v>
      </c>
      <c r="G96" s="3" t="s">
        <v>51</v>
      </c>
      <c r="H96" s="1" t="s">
        <v>52</v>
      </c>
      <c r="I96" s="25" t="s">
        <v>439</v>
      </c>
      <c r="J96" s="113">
        <f>Table4[[#This Row],[total_cost_npr]]*(1/'Calculations &amp; Assumptions'!$C$6)</f>
        <v>32.024634334103155</v>
      </c>
      <c r="K96" s="113">
        <f>Table4[[#This Row],[system_cost_npr_per_kwp]]*(1/'Calculations &amp; Assumptions'!$C$6)</f>
        <v>32.024634334103155</v>
      </c>
      <c r="L96" s="23">
        <f>IF(Table4[[#This Row],[total_cost_inr]]&gt;0, Table4[[#This Row],[total_cost_inr]]*'Calculations &amp; Assumptions'!$C$7,IF(Table4[[#This Row],[total_cost_eur]]&gt;0,Table4[[#This Row],[total_cost_eur]]*'Calculations &amp; Assumptions'!$C$5,0))</f>
        <v>4160</v>
      </c>
      <c r="M96" s="77">
        <f>IF(H96="smartmeter_1ph",Table4[[#This Row],[total_cost_npr]],Table4[[#This Row],[total_cost_npr]]/Table4[[#This Row],[pv_kWp]])</f>
        <v>4160</v>
      </c>
      <c r="N96" s="3">
        <v>2600</v>
      </c>
      <c r="O96" s="3"/>
      <c r="P96" s="3"/>
      <c r="Q96" s="3" t="e">
        <f>Table4[[#This Row],[total_cost_eur]]/Table4[[#This Row],[pv_kWp]]</f>
        <v>#DIV/0!</v>
      </c>
      <c r="R96" s="3"/>
      <c r="S96" s="3"/>
      <c r="T96" s="3"/>
      <c r="U96" s="3"/>
      <c r="V96" s="3"/>
      <c r="W96" s="3"/>
      <c r="X96" s="3"/>
      <c r="Y96" s="78"/>
      <c r="Z96" s="78"/>
      <c r="AA96" s="78"/>
      <c r="AB96" s="78"/>
      <c r="AC96" s="78"/>
      <c r="AD96" s="78"/>
      <c r="AE96" s="78"/>
      <c r="AF96" s="78"/>
      <c r="AG96" s="78"/>
      <c r="AH96" s="78"/>
      <c r="AI96" s="78"/>
      <c r="AJ96" s="78"/>
      <c r="AK96" s="78"/>
      <c r="AL96" s="78"/>
      <c r="AM96" s="78"/>
      <c r="AN96" s="78"/>
      <c r="AO96" s="78"/>
      <c r="AP96" s="78"/>
      <c r="AQ96" s="78"/>
      <c r="AR96" s="78"/>
      <c r="AS96" s="1"/>
      <c r="AT96" s="1"/>
      <c r="AU96" s="1"/>
      <c r="AV96" s="1"/>
      <c r="AW96" s="1"/>
      <c r="AX96" s="1"/>
      <c r="AY96" s="1"/>
      <c r="AZ96" s="1"/>
      <c r="BA96" s="1"/>
      <c r="BB96" s="1"/>
      <c r="BC96" s="1"/>
      <c r="BD96" s="1"/>
      <c r="BE96" s="1"/>
      <c r="BF96" s="1"/>
      <c r="BG96" s="1"/>
      <c r="BH96" s="1"/>
      <c r="BI96" s="1"/>
      <c r="BJ96" s="1"/>
      <c r="BK96" s="1"/>
    </row>
    <row r="97" spans="1:63" ht="16" thickBot="1" x14ac:dyDescent="0.25">
      <c r="A97" s="3">
        <v>96</v>
      </c>
      <c r="B97" s="25" t="s">
        <v>440</v>
      </c>
      <c r="C97" s="3" t="s">
        <v>543</v>
      </c>
      <c r="D97" s="3" t="s">
        <v>40</v>
      </c>
      <c r="E97" s="3"/>
      <c r="F97" s="3">
        <v>2022</v>
      </c>
      <c r="G97" s="3" t="s">
        <v>51</v>
      </c>
      <c r="H97" s="1" t="s">
        <v>52</v>
      </c>
      <c r="I97" s="25" t="s">
        <v>441</v>
      </c>
      <c r="J97" s="113">
        <f>Table4[[#This Row],[total_cost_npr]]*(1/'Calculations &amp; Assumptions'!$C$6)</f>
        <v>24.63433410315627</v>
      </c>
      <c r="K97" s="113">
        <f>Table4[[#This Row],[system_cost_npr_per_kwp]]*(1/'Calculations &amp; Assumptions'!$C$6)</f>
        <v>24.63433410315627</v>
      </c>
      <c r="L97" s="23">
        <f>IF(Table4[[#This Row],[total_cost_inr]]&gt;0, Table4[[#This Row],[total_cost_inr]]*'Calculations &amp; Assumptions'!$C$7,IF(Table4[[#This Row],[total_cost_eur]]&gt;0,Table4[[#This Row],[total_cost_eur]]*'Calculations &amp; Assumptions'!$C$5,0))</f>
        <v>3200</v>
      </c>
      <c r="M97" s="77">
        <f>IF(H97="smartmeter_1ph",Table4[[#This Row],[total_cost_npr]],Table4[[#This Row],[total_cost_npr]]/Table4[[#This Row],[pv_kWp]])</f>
        <v>3200</v>
      </c>
      <c r="N97" s="3">
        <v>2000</v>
      </c>
      <c r="O97" s="3"/>
      <c r="P97" s="3"/>
      <c r="Q97" s="3" t="e">
        <f>Table4[[#This Row],[total_cost_eur]]/Table4[[#This Row],[pv_kWp]]</f>
        <v>#DIV/0!</v>
      </c>
      <c r="R97" s="3"/>
      <c r="S97" s="3"/>
      <c r="T97" s="3"/>
      <c r="U97" s="3"/>
      <c r="V97" s="3"/>
      <c r="W97" s="3"/>
      <c r="X97" s="3"/>
      <c r="Y97" s="78"/>
      <c r="Z97" s="78"/>
      <c r="AA97" s="78"/>
      <c r="AB97" s="78"/>
      <c r="AC97" s="78"/>
      <c r="AD97" s="78"/>
      <c r="AE97" s="78"/>
      <c r="AF97" s="78"/>
      <c r="AG97" s="78"/>
      <c r="AH97" s="78"/>
      <c r="AI97" s="78"/>
      <c r="AJ97" s="78"/>
      <c r="AK97" s="78"/>
      <c r="AL97" s="78"/>
      <c r="AM97" s="78"/>
      <c r="AN97" s="78"/>
      <c r="AO97" s="78"/>
      <c r="AP97" s="78"/>
      <c r="AQ97" s="78"/>
      <c r="AR97" s="78"/>
      <c r="AS97" s="1"/>
      <c r="AT97" s="1"/>
      <c r="AU97" s="1"/>
      <c r="AV97" s="1"/>
      <c r="AW97" s="1"/>
      <c r="AX97" s="1"/>
      <c r="AY97" s="1"/>
      <c r="AZ97" s="1"/>
      <c r="BA97" s="1"/>
      <c r="BB97" s="1"/>
      <c r="BC97" s="1"/>
      <c r="BD97" s="1"/>
      <c r="BE97" s="1"/>
      <c r="BF97" s="1"/>
      <c r="BG97" s="1"/>
      <c r="BH97" s="1"/>
      <c r="BI97" s="1"/>
      <c r="BJ97" s="1"/>
      <c r="BK97" s="1"/>
    </row>
    <row r="98" spans="1:63" ht="16" thickBot="1" x14ac:dyDescent="0.25">
      <c r="A98" s="3">
        <v>97</v>
      </c>
      <c r="B98" s="25" t="s">
        <v>442</v>
      </c>
      <c r="C98" s="3" t="s">
        <v>543</v>
      </c>
      <c r="D98" s="3" t="s">
        <v>40</v>
      </c>
      <c r="E98" s="3"/>
      <c r="F98" s="3">
        <v>2022</v>
      </c>
      <c r="G98" s="1" t="s">
        <v>51</v>
      </c>
      <c r="H98" s="1" t="s">
        <v>52</v>
      </c>
      <c r="I98" s="25" t="s">
        <v>443</v>
      </c>
      <c r="J98" s="113">
        <f>Table4[[#This Row],[total_cost_npr]]*(1/'Calculations &amp; Assumptions'!$C$6)</f>
        <v>28.452655889145493</v>
      </c>
      <c r="K98" s="113">
        <f>Table4[[#This Row],[system_cost_npr_per_kwp]]*(1/'Calculations &amp; Assumptions'!$C$6)</f>
        <v>28.452655889145493</v>
      </c>
      <c r="L98" s="23">
        <f>IF(Table4[[#This Row],[total_cost_inr]]&gt;0, Table4[[#This Row],[total_cost_inr]]*'Calculations &amp; Assumptions'!$C$7,IF(Table4[[#This Row],[total_cost_eur]]&gt;0,Table4[[#This Row],[total_cost_eur]]*'Calculations &amp; Assumptions'!$C$5,0))</f>
        <v>3696</v>
      </c>
      <c r="M98" s="77">
        <f>IF(H98="smartmeter_1ph",Table4[[#This Row],[total_cost_npr]],Table4[[#This Row],[total_cost_npr]]/Table4[[#This Row],[pv_kWp]])</f>
        <v>3696</v>
      </c>
      <c r="N98" s="3">
        <v>2310</v>
      </c>
      <c r="O98" s="3"/>
      <c r="P98" s="3"/>
      <c r="Q98" s="3" t="e">
        <f>Table4[[#This Row],[total_cost_eur]]/Table4[[#This Row],[pv_kWp]]</f>
        <v>#DIV/0!</v>
      </c>
      <c r="R98" s="3"/>
      <c r="S98" s="3"/>
      <c r="T98" s="3"/>
      <c r="U98" s="3"/>
      <c r="V98" s="3"/>
      <c r="W98" s="3"/>
      <c r="X98" s="3"/>
      <c r="Y98" s="78"/>
      <c r="Z98" s="78"/>
      <c r="AA98" s="78"/>
      <c r="AB98" s="78"/>
      <c r="AC98" s="78"/>
      <c r="AD98" s="78"/>
      <c r="AE98" s="78"/>
      <c r="AF98" s="78"/>
      <c r="AG98" s="78"/>
      <c r="AH98" s="78"/>
      <c r="AI98" s="78"/>
      <c r="AJ98" s="78"/>
      <c r="AK98" s="78"/>
      <c r="AL98" s="78"/>
      <c r="AM98" s="78"/>
      <c r="AN98" s="78"/>
      <c r="AO98" s="78"/>
      <c r="AP98" s="78"/>
      <c r="AQ98" s="78"/>
      <c r="AR98" s="78"/>
      <c r="AS98" s="1"/>
      <c r="AT98" s="1"/>
      <c r="AU98" s="1"/>
      <c r="AV98" s="1"/>
      <c r="AW98" s="1"/>
      <c r="AX98" s="1"/>
      <c r="AY98" s="1"/>
      <c r="AZ98" s="1"/>
      <c r="BA98" s="1"/>
      <c r="BB98" s="1"/>
      <c r="BC98" s="1"/>
      <c r="BD98" s="1"/>
      <c r="BE98" s="1"/>
      <c r="BF98" s="1"/>
      <c r="BG98" s="1"/>
      <c r="BH98" s="1"/>
      <c r="BI98" s="1"/>
      <c r="BJ98" s="1"/>
      <c r="BK98" s="1"/>
    </row>
    <row r="99" spans="1:63" ht="16" thickBot="1" x14ac:dyDescent="0.25">
      <c r="A99" s="3">
        <v>99</v>
      </c>
      <c r="B99" s="3" t="s">
        <v>444</v>
      </c>
      <c r="C99" s="3" t="s">
        <v>543</v>
      </c>
      <c r="D99" s="3" t="s">
        <v>160</v>
      </c>
      <c r="E99" s="3"/>
      <c r="F99" s="3">
        <v>2022</v>
      </c>
      <c r="G99" s="1" t="s">
        <v>51</v>
      </c>
      <c r="H99" s="1" t="s">
        <v>58</v>
      </c>
      <c r="I99" s="1" t="s">
        <v>445</v>
      </c>
      <c r="J99" s="113">
        <f>Table4[[#This Row],[total_cost_npr]]*(1/'Calculations &amp; Assumptions'!$C$6)</f>
        <v>16512.702078521939</v>
      </c>
      <c r="K99" s="113">
        <f>Table4[[#This Row],[system_cost_npr_per_kwp]]*(1/'Calculations &amp; Assumptions'!$C$6)</f>
        <v>330.25404157043874</v>
      </c>
      <c r="L99" s="23">
        <f>IF(Table4[[#This Row],[total_cost_inr]]&gt;0, Table4[[#This Row],[total_cost_inr]]*'Calculations &amp; Assumptions'!$C$7,IF(Table4[[#This Row],[total_cost_eur]]&gt;0,Table4[[#This Row],[total_cost_eur]]*'Calculations &amp; Assumptions'!$C$5,0))</f>
        <v>2145000</v>
      </c>
      <c r="M99" s="77">
        <f>IF(H99="smartmeter_1ph",Table4[[#This Row],[total_cost_npr]],Table4[[#This Row],[total_cost_npr]]/Table4[[#This Row],[pv_kWp]])</f>
        <v>42900</v>
      </c>
      <c r="N99" s="1"/>
      <c r="O99" s="3"/>
      <c r="P99" s="1">
        <v>16500</v>
      </c>
      <c r="Q99" s="3">
        <f>Table4[[#This Row],[total_cost_eur]]/Table4[[#This Row],[pv_kWp]]</f>
        <v>330</v>
      </c>
      <c r="R99" s="1"/>
      <c r="S99" s="1"/>
      <c r="T99" s="1">
        <v>50</v>
      </c>
      <c r="U99" s="1"/>
      <c r="V99" s="1"/>
      <c r="W99" s="1"/>
      <c r="X99" s="1"/>
      <c r="Y99" s="1"/>
      <c r="Z99" s="1"/>
      <c r="AA99" s="1"/>
      <c r="AB99" s="1"/>
      <c r="AC99" s="1"/>
      <c r="AD99" s="1"/>
      <c r="AE99" s="1"/>
      <c r="AF99" s="1"/>
      <c r="AG99" s="1"/>
      <c r="AH99" s="1"/>
      <c r="AI99" s="6"/>
      <c r="AJ99" s="1"/>
      <c r="AK99" s="1"/>
      <c r="AL99" s="1"/>
      <c r="AM99" s="1"/>
      <c r="AN99" s="1"/>
      <c r="AO99" s="1"/>
      <c r="AP99" s="1"/>
      <c r="AQ99" s="85"/>
      <c r="AR99" s="85"/>
      <c r="AS99" s="1"/>
      <c r="AT99" s="1"/>
      <c r="AU99" s="1"/>
      <c r="AV99" s="1"/>
      <c r="AW99" s="1"/>
      <c r="AX99" s="1"/>
      <c r="AY99" s="1"/>
      <c r="AZ99" s="1"/>
      <c r="BA99" s="1"/>
      <c r="BB99" s="1"/>
      <c r="BC99" s="1"/>
      <c r="BD99" s="1"/>
      <c r="BE99" s="1"/>
      <c r="BF99" s="1"/>
      <c r="BG99" s="1"/>
      <c r="BH99" s="1"/>
      <c r="BI99" s="1"/>
      <c r="BJ99" s="1"/>
      <c r="BK99" s="1"/>
    </row>
    <row r="100" spans="1:63" ht="16" thickBot="1" x14ac:dyDescent="0.25">
      <c r="A100" s="3">
        <v>100</v>
      </c>
      <c r="B100" s="84" t="s">
        <v>444</v>
      </c>
      <c r="C100" s="3" t="s">
        <v>543</v>
      </c>
      <c r="D100" s="3" t="s">
        <v>160</v>
      </c>
      <c r="E100" s="3"/>
      <c r="F100" s="3">
        <v>2022</v>
      </c>
      <c r="G100" s="1" t="s">
        <v>51</v>
      </c>
      <c r="H100" s="1" t="s">
        <v>58</v>
      </c>
      <c r="I100" s="1" t="s">
        <v>445</v>
      </c>
      <c r="J100" s="113">
        <f>Table4[[#This Row],[total_cost_npr]]*(1/'Calculations &amp; Assumptions'!$C$6)</f>
        <v>960739.03002309462</v>
      </c>
      <c r="K100" s="113">
        <f>Table4[[#This Row],[system_cost_npr_per_kwp]]*(1/'Calculations &amp; Assumptions'!$C$6)</f>
        <v>320.24634334103155</v>
      </c>
      <c r="L100" s="23">
        <f>IF(Table4[[#This Row],[total_cost_inr]]&gt;0, Table4[[#This Row],[total_cost_inr]]*'Calculations &amp; Assumptions'!$C$7,IF(Table4[[#This Row],[total_cost_eur]]&gt;0,Table4[[#This Row],[total_cost_eur]]*'Calculations &amp; Assumptions'!$C$5,0))</f>
        <v>124800000</v>
      </c>
      <c r="M100" s="77">
        <f>IF(H100="smartmeter_1ph",Table4[[#This Row],[total_cost_npr]],Table4[[#This Row],[total_cost_npr]]/Table4[[#This Row],[pv_kWp]])</f>
        <v>41600</v>
      </c>
      <c r="N100" s="1"/>
      <c r="O100" s="3"/>
      <c r="P100" s="1">
        <v>960000</v>
      </c>
      <c r="Q100" s="3">
        <f>Table4[[#This Row],[total_cost_eur]]/Table4[[#This Row],[pv_kWp]]</f>
        <v>320</v>
      </c>
      <c r="R100" s="1"/>
      <c r="S100" s="1"/>
      <c r="T100" s="1">
        <v>3000</v>
      </c>
      <c r="U100" s="1"/>
      <c r="V100" s="1"/>
      <c r="W100" s="1"/>
      <c r="X100" s="1"/>
      <c r="Y100" s="1"/>
      <c r="Z100" s="1"/>
      <c r="AA100" s="1"/>
      <c r="AB100" s="1"/>
      <c r="AC100" s="1"/>
      <c r="AD100" s="1"/>
      <c r="AE100" s="1"/>
      <c r="AF100" s="1"/>
      <c r="AG100" s="1"/>
      <c r="AH100" s="1"/>
      <c r="AI100" s="6"/>
      <c r="AJ100" s="1"/>
      <c r="AK100" s="1"/>
      <c r="AL100" s="1"/>
      <c r="AM100" s="1"/>
      <c r="AN100" s="1"/>
      <c r="AO100" s="1"/>
      <c r="AP100" s="1"/>
      <c r="AQ100" s="85"/>
      <c r="AR100" s="85"/>
      <c r="AS100" s="1"/>
      <c r="AT100" s="1"/>
      <c r="AU100" s="1"/>
      <c r="AV100" s="1"/>
      <c r="AW100" s="1"/>
      <c r="AX100" s="1"/>
      <c r="AY100" s="1"/>
      <c r="AZ100" s="1"/>
      <c r="BA100" s="1"/>
      <c r="BB100" s="1"/>
      <c r="BC100" s="1"/>
      <c r="BD100" s="1"/>
      <c r="BE100" s="1"/>
      <c r="BF100" s="1"/>
      <c r="BG100" s="1"/>
      <c r="BH100" s="1"/>
      <c r="BI100" s="1"/>
      <c r="BJ100" s="1"/>
      <c r="BK100" s="1"/>
    </row>
    <row r="101" spans="1:63" ht="16" thickBot="1" x14ac:dyDescent="0.25">
      <c r="A101" s="3">
        <v>101</v>
      </c>
      <c r="B101" s="3" t="s">
        <v>444</v>
      </c>
      <c r="C101" s="3" t="s">
        <v>543</v>
      </c>
      <c r="D101" s="3" t="s">
        <v>160</v>
      </c>
      <c r="E101" s="3"/>
      <c r="F101" s="3">
        <v>2022</v>
      </c>
      <c r="G101" s="1" t="s">
        <v>51</v>
      </c>
      <c r="H101" s="1" t="s">
        <v>58</v>
      </c>
      <c r="I101" s="1"/>
      <c r="J101" s="113">
        <f>Table4[[#This Row],[total_cost_npr]]*(1/'Calculations &amp; Assumptions'!$C$6)</f>
        <v>85065.434949961505</v>
      </c>
      <c r="K101" s="113">
        <f>Table4[[#This Row],[system_cost_npr_per_kwp]]*(1/'Calculations &amp; Assumptions'!$C$6)</f>
        <v>340.261739799846</v>
      </c>
      <c r="L101" s="23">
        <f>IF(Table4[[#This Row],[total_cost_inr]]&gt;0, Table4[[#This Row],[total_cost_inr]]*'Calculations &amp; Assumptions'!$C$7,IF(Table4[[#This Row],[total_cost_eur]]&gt;0,Table4[[#This Row],[total_cost_eur]]*'Calculations &amp; Assumptions'!$C$5,0))</f>
        <v>11050000</v>
      </c>
      <c r="M101" s="77">
        <f>IF(H101="smartmeter_1ph",Table4[[#This Row],[total_cost_npr]],Table4[[#This Row],[total_cost_npr]]/Table4[[#This Row],[pv_kWp]])</f>
        <v>44200</v>
      </c>
      <c r="N101" s="1"/>
      <c r="O101" s="3"/>
      <c r="P101" s="1">
        <v>85000</v>
      </c>
      <c r="Q101" s="3">
        <f>Table4[[#This Row],[total_cost_eur]]/Table4[[#This Row],[pv_kWp]]</f>
        <v>340</v>
      </c>
      <c r="R101" s="1"/>
      <c r="S101" s="1"/>
      <c r="T101" s="1">
        <v>250</v>
      </c>
      <c r="U101" s="1"/>
      <c r="V101" s="1"/>
      <c r="W101" s="1"/>
      <c r="X101" s="1"/>
      <c r="Y101" s="1"/>
      <c r="Z101" s="1"/>
      <c r="AA101" s="1"/>
      <c r="AB101" s="1"/>
      <c r="AC101" s="1"/>
      <c r="AD101" s="1"/>
      <c r="AE101" s="1"/>
      <c r="AF101" s="1"/>
      <c r="AG101" s="1"/>
      <c r="AH101" s="1"/>
      <c r="AI101" s="6"/>
      <c r="AJ101" s="1"/>
      <c r="AK101" s="1"/>
      <c r="AL101" s="1"/>
      <c r="AM101" s="1"/>
      <c r="AN101" s="1"/>
      <c r="AO101" s="1"/>
      <c r="AP101" s="1"/>
      <c r="AQ101" s="85"/>
      <c r="AR101" s="85"/>
      <c r="AS101" s="1"/>
      <c r="AT101" s="1"/>
      <c r="AU101" s="1"/>
      <c r="AV101" s="1"/>
      <c r="AW101" s="1"/>
      <c r="AX101" s="1"/>
      <c r="AY101" s="1"/>
      <c r="AZ101" s="1"/>
      <c r="BA101" s="1"/>
      <c r="BB101" s="1"/>
      <c r="BC101" s="1"/>
      <c r="BD101" s="1"/>
      <c r="BE101" s="1"/>
      <c r="BF101" s="1"/>
      <c r="BG101" s="1"/>
      <c r="BH101" s="1"/>
      <c r="BI101" s="1"/>
      <c r="BJ101" s="1"/>
      <c r="BK101" s="1"/>
    </row>
    <row r="102" spans="1:63" ht="16" thickBot="1" x14ac:dyDescent="0.25">
      <c r="A102" s="3">
        <v>102</v>
      </c>
      <c r="B102" s="3" t="s">
        <v>444</v>
      </c>
      <c r="C102" s="3" t="s">
        <v>543</v>
      </c>
      <c r="D102" s="3" t="s">
        <v>160</v>
      </c>
      <c r="E102" s="3"/>
      <c r="F102" s="3">
        <v>2022</v>
      </c>
      <c r="G102" s="1" t="s">
        <v>51</v>
      </c>
      <c r="H102" s="1" t="s">
        <v>58</v>
      </c>
      <c r="I102" s="1"/>
      <c r="J102" s="113">
        <f>Table4[[#This Row],[total_cost_npr]]*(1/'Calculations &amp; Assumptions'!$C$6)</f>
        <v>3502.6943802925325</v>
      </c>
      <c r="K102" s="113">
        <f>Table4[[#This Row],[system_cost_npr_per_kwp]]*(1/'Calculations &amp; Assumptions'!$C$6)</f>
        <v>350.26943802925325</v>
      </c>
      <c r="L102" s="23">
        <f>IF(Table4[[#This Row],[total_cost_inr]]&gt;0, Table4[[#This Row],[total_cost_inr]]*'Calculations &amp; Assumptions'!$C$7,IF(Table4[[#This Row],[total_cost_eur]]&gt;0,Table4[[#This Row],[total_cost_eur]]*'Calculations &amp; Assumptions'!$C$5,0))</f>
        <v>455000</v>
      </c>
      <c r="M102" s="77">
        <f>IF(H102="smartmeter_1ph",Table4[[#This Row],[total_cost_npr]],Table4[[#This Row],[total_cost_npr]]/Table4[[#This Row],[pv_kWp]])</f>
        <v>45500</v>
      </c>
      <c r="N102" s="1"/>
      <c r="O102" s="3"/>
      <c r="P102" s="1">
        <v>3500</v>
      </c>
      <c r="Q102" s="3">
        <f>Table4[[#This Row],[total_cost_eur]]/Table4[[#This Row],[pv_kWp]]</f>
        <v>350</v>
      </c>
      <c r="R102" s="1"/>
      <c r="S102" s="1"/>
      <c r="T102" s="1">
        <v>10</v>
      </c>
      <c r="U102" s="1"/>
      <c r="V102" s="1"/>
      <c r="W102" s="1"/>
      <c r="X102" s="1"/>
      <c r="Y102" s="1"/>
      <c r="Z102" s="1"/>
      <c r="AA102" s="1"/>
      <c r="AB102" s="1"/>
      <c r="AC102" s="1"/>
      <c r="AD102" s="1"/>
      <c r="AE102" s="1"/>
      <c r="AF102" s="1"/>
      <c r="AG102" s="1"/>
      <c r="AH102" s="1"/>
      <c r="AI102" s="6"/>
      <c r="AJ102" s="1"/>
      <c r="AK102" s="1"/>
      <c r="AL102" s="1"/>
      <c r="AM102" s="1"/>
      <c r="AN102" s="1"/>
      <c r="AO102" s="1"/>
      <c r="AP102" s="1"/>
      <c r="AQ102" s="85"/>
      <c r="AR102" s="85"/>
      <c r="AS102" s="1"/>
      <c r="AT102" s="1"/>
      <c r="AU102" s="1"/>
      <c r="AV102" s="1"/>
      <c r="AW102" s="1"/>
      <c r="AX102" s="1"/>
      <c r="AY102" s="1"/>
      <c r="AZ102" s="1"/>
      <c r="BA102" s="1"/>
      <c r="BB102" s="1"/>
      <c r="BC102" s="1"/>
      <c r="BD102" s="1"/>
      <c r="BE102" s="1"/>
      <c r="BF102" s="1"/>
      <c r="BG102" s="1"/>
      <c r="BH102" s="1"/>
      <c r="BI102" s="1"/>
      <c r="BJ102" s="1"/>
      <c r="BK102" s="1"/>
    </row>
    <row r="103" spans="1:63" ht="16" thickBot="1" x14ac:dyDescent="0.25">
      <c r="A103" s="3">
        <v>103</v>
      </c>
      <c r="B103" s="3" t="s">
        <v>444</v>
      </c>
      <c r="C103" s="3" t="s">
        <v>543</v>
      </c>
      <c r="D103" s="3" t="s">
        <v>160</v>
      </c>
      <c r="E103" s="3"/>
      <c r="F103" s="3">
        <v>2022</v>
      </c>
      <c r="G103" s="1" t="s">
        <v>51</v>
      </c>
      <c r="H103" s="1" t="s">
        <v>446</v>
      </c>
      <c r="I103" s="1"/>
      <c r="J103" s="113">
        <f>Table4[[#This Row],[total_cost_npr]]*(1/'Calculations &amp; Assumptions'!$C$6)</f>
        <v>4003.0792917628942</v>
      </c>
      <c r="K103" s="113">
        <f>Table4[[#This Row],[system_cost_npr_per_kwp]]*(1/'Calculations &amp; Assumptions'!$C$6)</f>
        <v>80.061585835257887</v>
      </c>
      <c r="L103" s="23">
        <f>IF(Table4[[#This Row],[total_cost_inr]]&gt;0, Table4[[#This Row],[total_cost_inr]]*'Calculations &amp; Assumptions'!$C$7,IF(Table4[[#This Row],[total_cost_eur]]&gt;0,Table4[[#This Row],[total_cost_eur]]*'Calculations &amp; Assumptions'!$C$5,0))</f>
        <v>520000</v>
      </c>
      <c r="M103" s="77">
        <f>IF(H103="smartmeter_1ph",Table4[[#This Row],[total_cost_npr]],Table4[[#This Row],[total_cost_npr]]/Table4[[#This Row],[pv_kWp]])</f>
        <v>10400</v>
      </c>
      <c r="N103" s="1"/>
      <c r="O103" s="3"/>
      <c r="P103" s="1">
        <v>4000</v>
      </c>
      <c r="Q103" s="3">
        <f>Table4[[#This Row],[total_cost_eur]]/Table4[[#This Row],[pv_kWp]]</f>
        <v>80</v>
      </c>
      <c r="R103" s="1"/>
      <c r="S103" s="1"/>
      <c r="T103" s="1">
        <v>50</v>
      </c>
      <c r="U103" s="1"/>
      <c r="V103" s="1"/>
      <c r="W103" s="1"/>
      <c r="X103" s="1"/>
      <c r="Y103" s="1"/>
      <c r="Z103" s="1"/>
      <c r="AA103" s="1"/>
      <c r="AB103" s="1"/>
      <c r="AC103" s="1"/>
      <c r="AD103" s="1"/>
      <c r="AE103" s="1"/>
      <c r="AF103" s="1"/>
      <c r="AG103" s="1"/>
      <c r="AH103" s="1"/>
      <c r="AI103" s="6"/>
      <c r="AJ103" s="1"/>
      <c r="AK103" s="1"/>
      <c r="AL103" s="1"/>
      <c r="AM103" s="1"/>
      <c r="AN103" s="1"/>
      <c r="AO103" s="1"/>
      <c r="AP103" s="1"/>
      <c r="AQ103" s="85"/>
      <c r="AR103" s="85"/>
      <c r="AS103" s="1"/>
      <c r="AT103" s="1"/>
      <c r="AU103" s="1"/>
      <c r="AV103" s="1"/>
      <c r="AW103" s="1"/>
      <c r="AX103" s="1"/>
      <c r="AY103" s="1"/>
      <c r="AZ103" s="1"/>
      <c r="BA103" s="1"/>
      <c r="BB103" s="1"/>
      <c r="BC103" s="1"/>
      <c r="BD103" s="1"/>
      <c r="BE103" s="1"/>
      <c r="BF103" s="1"/>
      <c r="BG103" s="1"/>
      <c r="BH103" s="1"/>
      <c r="BI103" s="1"/>
      <c r="BJ103" s="1"/>
      <c r="BK103" s="1"/>
    </row>
    <row r="104" spans="1:63" ht="16" thickBot="1" x14ac:dyDescent="0.25">
      <c r="A104" s="3">
        <v>104</v>
      </c>
      <c r="B104" s="84" t="s">
        <v>444</v>
      </c>
      <c r="C104" s="3" t="s">
        <v>543</v>
      </c>
      <c r="D104" s="3" t="s">
        <v>160</v>
      </c>
      <c r="E104" s="3"/>
      <c r="F104" s="3">
        <v>2022</v>
      </c>
      <c r="G104" s="1" t="s">
        <v>51</v>
      </c>
      <c r="H104" s="1" t="s">
        <v>447</v>
      </c>
      <c r="I104" s="1"/>
      <c r="J104" s="113">
        <f>Table4[[#This Row],[total_cost_npr]]*(1/'Calculations &amp; Assumptions'!$C$6)</f>
        <v>330254.04157043877</v>
      </c>
      <c r="K104" s="113">
        <f>Table4[[#This Row],[system_cost_npr_per_kwp]]*(1/'Calculations &amp; Assumptions'!$C$6)</f>
        <v>110.08468052347959</v>
      </c>
      <c r="L104" s="23">
        <f>IF(Table4[[#This Row],[total_cost_inr]]&gt;0, Table4[[#This Row],[total_cost_inr]]*'Calculations &amp; Assumptions'!$C$7,IF(Table4[[#This Row],[total_cost_eur]]&gt;0,Table4[[#This Row],[total_cost_eur]]*'Calculations &amp; Assumptions'!$C$5,0))</f>
        <v>42900000</v>
      </c>
      <c r="M104" s="77">
        <f>IF(H104="smartmeter_1ph",Table4[[#This Row],[total_cost_npr]],Table4[[#This Row],[total_cost_npr]]/Table4[[#This Row],[pv_kWp]])</f>
        <v>14300</v>
      </c>
      <c r="N104" s="1"/>
      <c r="O104" s="3"/>
      <c r="P104" s="1">
        <v>330000</v>
      </c>
      <c r="Q104" s="3">
        <f>Table4[[#This Row],[total_cost_eur]]/Table4[[#This Row],[pv_kWp]]</f>
        <v>110</v>
      </c>
      <c r="R104" s="1"/>
      <c r="S104" s="1"/>
      <c r="T104" s="1">
        <v>3000</v>
      </c>
      <c r="U104" s="1"/>
      <c r="V104" s="1"/>
      <c r="W104" s="1"/>
      <c r="X104" s="1"/>
      <c r="Y104" s="1"/>
      <c r="Z104" s="1"/>
      <c r="AA104" s="1"/>
      <c r="AB104" s="1"/>
      <c r="AC104" s="1"/>
      <c r="AD104" s="1"/>
      <c r="AE104" s="1"/>
      <c r="AF104" s="1"/>
      <c r="AG104" s="1"/>
      <c r="AH104" s="1"/>
      <c r="AI104" s="6"/>
      <c r="AJ104" s="1"/>
      <c r="AK104" s="1"/>
      <c r="AL104" s="1"/>
      <c r="AM104" s="1"/>
      <c r="AN104" s="1"/>
      <c r="AO104" s="1"/>
      <c r="AP104" s="1"/>
      <c r="AQ104" s="85"/>
      <c r="AR104" s="85"/>
      <c r="AS104" s="1"/>
      <c r="AT104" s="1"/>
      <c r="AU104" s="1"/>
      <c r="AV104" s="1"/>
      <c r="AW104" s="1"/>
      <c r="AX104" s="1"/>
      <c r="AY104" s="1"/>
      <c r="AZ104" s="1"/>
      <c r="BA104" s="1"/>
      <c r="BB104" s="1"/>
      <c r="BC104" s="1"/>
      <c r="BD104" s="1"/>
      <c r="BE104" s="1"/>
      <c r="BF104" s="1"/>
      <c r="BG104" s="1"/>
      <c r="BH104" s="1"/>
      <c r="BI104" s="1"/>
      <c r="BJ104" s="1"/>
      <c r="BK104" s="1"/>
    </row>
    <row r="105" spans="1:63" ht="16" thickBot="1" x14ac:dyDescent="0.25">
      <c r="A105" s="3">
        <v>105</v>
      </c>
      <c r="B105" s="84" t="s">
        <v>444</v>
      </c>
      <c r="C105" s="3" t="s">
        <v>543</v>
      </c>
      <c r="D105" s="3" t="s">
        <v>160</v>
      </c>
      <c r="E105" s="3"/>
      <c r="F105" s="3">
        <v>2022</v>
      </c>
      <c r="G105" s="1" t="s">
        <v>51</v>
      </c>
      <c r="H105" s="1" t="s">
        <v>447</v>
      </c>
      <c r="I105" s="1"/>
      <c r="J105" s="113">
        <f>Table4[[#This Row],[total_cost_npr]]*(1/'Calculations &amp; Assumptions'!$C$6)</f>
        <v>22016.936104695917</v>
      </c>
      <c r="K105" s="113">
        <f>Table4[[#This Row],[system_cost_npr_per_kwp]]*(1/'Calculations &amp; Assumptions'!$C$6)</f>
        <v>110.08468052347959</v>
      </c>
      <c r="L105" s="23">
        <f>IF(Table4[[#This Row],[total_cost_inr]]&gt;0, Table4[[#This Row],[total_cost_inr]]*'Calculations &amp; Assumptions'!$C$7,IF(Table4[[#This Row],[total_cost_eur]]&gt;0,Table4[[#This Row],[total_cost_eur]]*'Calculations &amp; Assumptions'!$C$5,0))</f>
        <v>2860000</v>
      </c>
      <c r="M105" s="77">
        <f>IF(H105="smartmeter_1ph",Table4[[#This Row],[total_cost_npr]],Table4[[#This Row],[total_cost_npr]]/Table4[[#This Row],[pv_kWp]])</f>
        <v>14300</v>
      </c>
      <c r="N105" s="1"/>
      <c r="O105" s="3"/>
      <c r="P105" s="1">
        <v>22000</v>
      </c>
      <c r="Q105" s="3">
        <f>Table4[[#This Row],[total_cost_eur]]/Table4[[#This Row],[pv_kWp]]</f>
        <v>110</v>
      </c>
      <c r="R105" s="1"/>
      <c r="S105" s="1"/>
      <c r="T105" s="1">
        <v>200</v>
      </c>
      <c r="U105" s="1"/>
      <c r="V105" s="1"/>
      <c r="W105" s="1"/>
      <c r="X105" s="1"/>
      <c r="Y105" s="1"/>
      <c r="Z105" s="1"/>
      <c r="AA105" s="1"/>
      <c r="AB105" s="1"/>
      <c r="AC105" s="1"/>
      <c r="AD105" s="1"/>
      <c r="AE105" s="1"/>
      <c r="AF105" s="1"/>
      <c r="AG105" s="1"/>
      <c r="AH105" s="1"/>
      <c r="AI105" s="6"/>
      <c r="AJ105" s="1"/>
      <c r="AK105" s="1"/>
      <c r="AL105" s="1"/>
      <c r="AM105" s="1"/>
      <c r="AN105" s="1"/>
      <c r="AO105" s="1"/>
      <c r="AP105" s="1"/>
      <c r="AQ105" s="85"/>
      <c r="AR105" s="85"/>
      <c r="AS105" s="1"/>
      <c r="AT105" s="1"/>
      <c r="AU105" s="1"/>
      <c r="AV105" s="1"/>
      <c r="AW105" s="1"/>
      <c r="AX105" s="1"/>
      <c r="AY105" s="1"/>
      <c r="AZ105" s="1"/>
      <c r="BA105" s="1"/>
      <c r="BB105" s="1"/>
      <c r="BC105" s="1"/>
      <c r="BD105" s="1"/>
      <c r="BE105" s="1"/>
      <c r="BF105" s="1"/>
      <c r="BG105" s="1"/>
      <c r="BH105" s="1"/>
      <c r="BI105" s="1"/>
      <c r="BJ105" s="1"/>
      <c r="BK105" s="1"/>
    </row>
    <row r="106" spans="1:63" ht="16" thickBot="1" x14ac:dyDescent="0.25">
      <c r="A106" s="3">
        <v>106</v>
      </c>
      <c r="B106" s="3" t="s">
        <v>444</v>
      </c>
      <c r="C106" s="3" t="s">
        <v>543</v>
      </c>
      <c r="D106" s="3" t="s">
        <v>160</v>
      </c>
      <c r="E106" s="1"/>
      <c r="F106" s="3">
        <v>2022</v>
      </c>
      <c r="G106" s="1" t="s">
        <v>51</v>
      </c>
      <c r="H106" s="1" t="s">
        <v>446</v>
      </c>
      <c r="I106" s="1"/>
      <c r="J106" s="113">
        <f>Table4[[#This Row],[total_cost_npr]]*(1/'Calculations &amp; Assumptions'!$C$6)</f>
        <v>240.18475750577366</v>
      </c>
      <c r="K106" s="113">
        <f>Table4[[#This Row],[system_cost_npr_per_kwp]]*(1/'Calculations &amp; Assumptions'!$C$6)</f>
        <v>80.061585835257887</v>
      </c>
      <c r="L106" s="23">
        <f>IF(Table4[[#This Row],[total_cost_inr]]&gt;0, Table4[[#This Row],[total_cost_inr]]*'Calculations &amp; Assumptions'!$C$7,IF(Table4[[#This Row],[total_cost_eur]]&gt;0,Table4[[#This Row],[total_cost_eur]]*'Calculations &amp; Assumptions'!$C$5,0))</f>
        <v>31200</v>
      </c>
      <c r="M106" s="77">
        <f>IF(H106="smartmeter_1ph",Table4[[#This Row],[total_cost_npr]],Table4[[#This Row],[total_cost_npr]]/Table4[[#This Row],[pv_kWp]])</f>
        <v>10400</v>
      </c>
      <c r="N106" s="1"/>
      <c r="O106" s="3"/>
      <c r="P106" s="1">
        <v>240</v>
      </c>
      <c r="Q106" s="3">
        <f>Table4[[#This Row],[total_cost_eur]]/Table4[[#This Row],[pv_kWp]]</f>
        <v>80</v>
      </c>
      <c r="R106" s="1"/>
      <c r="S106" s="1"/>
      <c r="T106" s="1">
        <v>3</v>
      </c>
      <c r="U106" s="1"/>
      <c r="V106" s="1"/>
      <c r="W106" s="1"/>
      <c r="X106" s="1"/>
      <c r="Y106" s="1"/>
      <c r="Z106" s="1"/>
      <c r="AA106" s="1"/>
      <c r="AB106" s="1"/>
      <c r="AC106" s="1"/>
      <c r="AD106" s="1"/>
      <c r="AE106" s="1"/>
      <c r="AF106" s="1"/>
      <c r="AG106" s="1"/>
      <c r="AH106" s="1"/>
      <c r="AI106" s="6"/>
      <c r="AJ106" s="1"/>
      <c r="AK106" s="1"/>
      <c r="AL106" s="1"/>
      <c r="AM106" s="1"/>
      <c r="AN106" s="1"/>
      <c r="AO106" s="1"/>
      <c r="AP106" s="1"/>
      <c r="AQ106" s="85"/>
      <c r="AR106" s="85"/>
      <c r="AS106" s="1"/>
      <c r="AT106" s="1"/>
      <c r="AU106" s="1"/>
      <c r="AV106" s="1"/>
      <c r="AW106" s="1"/>
      <c r="AX106" s="1"/>
      <c r="AY106" s="1"/>
      <c r="AZ106" s="1"/>
      <c r="BA106" s="1"/>
      <c r="BB106" s="1"/>
      <c r="BC106" s="1"/>
      <c r="BD106" s="1"/>
      <c r="BE106" s="1"/>
      <c r="BF106" s="1"/>
      <c r="BG106" s="1"/>
      <c r="BH106" s="1"/>
      <c r="BI106" s="1"/>
      <c r="BJ106" s="1"/>
      <c r="BK106" s="1"/>
    </row>
    <row r="107" spans="1:63" ht="16" thickBot="1" x14ac:dyDescent="0.25">
      <c r="A107" s="3">
        <v>107</v>
      </c>
      <c r="B107" s="3" t="s">
        <v>444</v>
      </c>
      <c r="C107" s="3" t="s">
        <v>543</v>
      </c>
      <c r="D107" s="3" t="s">
        <v>160</v>
      </c>
      <c r="E107" s="1"/>
      <c r="F107" s="3">
        <v>2022</v>
      </c>
      <c r="G107" s="1" t="s">
        <v>51</v>
      </c>
      <c r="H107" s="1" t="s">
        <v>81</v>
      </c>
      <c r="I107" s="1"/>
      <c r="J107" s="113">
        <f>Table4[[#This Row],[total_cost_npr]]*(1/'Calculations &amp; Assumptions'!$C$6)</f>
        <v>2101.6166281755195</v>
      </c>
      <c r="K107" s="113">
        <f>Table4[[#This Row],[system_cost_npr_per_kwp]]*(1/'Calculations &amp; Assumptions'!$C$6)</f>
        <v>42.032332563510387</v>
      </c>
      <c r="L107" s="23">
        <f>IF(Table4[[#This Row],[total_cost_inr]]&gt;0, Table4[[#This Row],[total_cost_inr]]*'Calculations &amp; Assumptions'!$C$7,IF(Table4[[#This Row],[total_cost_eur]]&gt;0,Table4[[#This Row],[total_cost_eur]]*'Calculations &amp; Assumptions'!$C$5,0))</f>
        <v>273000</v>
      </c>
      <c r="M107" s="77">
        <f>IF(H107="smartmeter_1ph",Table4[[#This Row],[total_cost_npr]],Table4[[#This Row],[total_cost_npr]]/Table4[[#This Row],[pv_kWp]])</f>
        <v>5460</v>
      </c>
      <c r="N107" s="1"/>
      <c r="O107" s="3"/>
      <c r="P107" s="1">
        <v>2100</v>
      </c>
      <c r="Q107" s="3">
        <f>Table4[[#This Row],[total_cost_eur]]/Table4[[#This Row],[pv_kWp]]</f>
        <v>42</v>
      </c>
      <c r="R107" s="1"/>
      <c r="S107" s="1"/>
      <c r="T107" s="1">
        <v>50</v>
      </c>
      <c r="U107" s="1"/>
      <c r="V107" s="1"/>
      <c r="W107" s="1"/>
      <c r="X107" s="1"/>
      <c r="Y107" s="1"/>
      <c r="Z107" s="1"/>
      <c r="AA107" s="1"/>
      <c r="AB107" s="1"/>
      <c r="AC107" s="1"/>
      <c r="AD107" s="1"/>
      <c r="AE107" s="1"/>
      <c r="AF107" s="1"/>
      <c r="AG107" s="1"/>
      <c r="AH107" s="1"/>
      <c r="AI107" s="6"/>
      <c r="AJ107" s="1"/>
      <c r="AK107" s="1"/>
      <c r="AL107" s="1"/>
      <c r="AM107" s="1"/>
      <c r="AN107" s="1"/>
      <c r="AO107" s="1"/>
      <c r="AP107" s="1"/>
      <c r="AQ107" s="85"/>
      <c r="AR107" s="85"/>
      <c r="AS107" s="1"/>
      <c r="AT107" s="1"/>
      <c r="AU107" s="1"/>
      <c r="AV107" s="1"/>
      <c r="AW107" s="1"/>
      <c r="AX107" s="1"/>
      <c r="AY107" s="1"/>
      <c r="AZ107" s="1"/>
      <c r="BA107" s="1"/>
      <c r="BB107" s="1"/>
      <c r="BC107" s="1"/>
      <c r="BD107" s="1"/>
      <c r="BE107" s="1"/>
      <c r="BF107" s="1"/>
      <c r="BG107" s="1"/>
      <c r="BH107" s="1"/>
      <c r="BI107" s="1"/>
      <c r="BJ107" s="1"/>
      <c r="BK107" s="1"/>
    </row>
    <row r="108" spans="1:63" ht="16" thickBot="1" x14ac:dyDescent="0.25">
      <c r="A108" s="3">
        <v>108</v>
      </c>
      <c r="B108" s="84" t="s">
        <v>444</v>
      </c>
      <c r="C108" s="3" t="s">
        <v>543</v>
      </c>
      <c r="D108" s="1" t="s">
        <v>160</v>
      </c>
      <c r="E108" s="1"/>
      <c r="F108" s="3">
        <v>2022</v>
      </c>
      <c r="G108" s="1" t="s">
        <v>51</v>
      </c>
      <c r="H108" s="1" t="s">
        <v>81</v>
      </c>
      <c r="I108" s="84"/>
      <c r="J108" s="113">
        <f>Table4[[#This Row],[total_cost_npr]]*(1/'Calculations &amp; Assumptions'!$C$6)</f>
        <v>66050.808314087757</v>
      </c>
      <c r="K108" s="113">
        <f>Table4[[#This Row],[system_cost_npr_per_kwp]]*(1/'Calculations &amp; Assumptions'!$C$6)</f>
        <v>22.016936104695919</v>
      </c>
      <c r="L108" s="23">
        <f>IF(Table4[[#This Row],[total_cost_inr]]&gt;0, Table4[[#This Row],[total_cost_inr]]*'Calculations &amp; Assumptions'!$C$7,IF(Table4[[#This Row],[total_cost_eur]]&gt;0,Table4[[#This Row],[total_cost_eur]]*'Calculations &amp; Assumptions'!$C$5,0))</f>
        <v>8580000</v>
      </c>
      <c r="M108" s="77">
        <f>IF(H108="smartmeter_1ph",Table4[[#This Row],[total_cost_npr]],Table4[[#This Row],[total_cost_npr]]/Table4[[#This Row],[pv_kWp]])</f>
        <v>2860</v>
      </c>
      <c r="N108" s="1"/>
      <c r="O108" s="3"/>
      <c r="P108" s="1">
        <v>66000</v>
      </c>
      <c r="Q108" s="3">
        <f>Table4[[#This Row],[total_cost_eur]]/Table4[[#This Row],[pv_kWp]]</f>
        <v>22</v>
      </c>
      <c r="R108" s="1"/>
      <c r="S108" s="1"/>
      <c r="T108" s="1">
        <v>3000</v>
      </c>
      <c r="U108" s="1"/>
      <c r="V108" s="1"/>
      <c r="W108" s="1"/>
      <c r="X108" s="1"/>
      <c r="Y108" s="1"/>
      <c r="Z108" s="1"/>
      <c r="AA108" s="1"/>
      <c r="AB108" s="1"/>
      <c r="AC108" s="1"/>
      <c r="AD108" s="1"/>
      <c r="AE108" s="1"/>
      <c r="AF108" s="1"/>
      <c r="AG108" s="1"/>
      <c r="AH108" s="1"/>
      <c r="AI108" s="6"/>
      <c r="AJ108" s="1"/>
      <c r="AK108" s="1"/>
      <c r="AL108" s="1"/>
      <c r="AM108" s="1"/>
      <c r="AN108" s="1"/>
      <c r="AO108" s="1"/>
      <c r="AP108" s="1"/>
      <c r="AQ108" s="85"/>
      <c r="AR108" s="85"/>
      <c r="AS108" s="1"/>
      <c r="AT108" s="1"/>
      <c r="AU108" s="1"/>
      <c r="AV108" s="1"/>
      <c r="AW108" s="1"/>
      <c r="AX108" s="1"/>
      <c r="AY108" s="1"/>
      <c r="AZ108" s="1"/>
      <c r="BA108" s="1"/>
      <c r="BB108" s="1"/>
      <c r="BC108" s="1"/>
      <c r="BD108" s="1"/>
      <c r="BE108" s="1"/>
      <c r="BF108" s="1"/>
      <c r="BG108" s="1"/>
      <c r="BH108" s="1"/>
      <c r="BI108" s="1"/>
      <c r="BJ108" s="1"/>
      <c r="BK108" s="1"/>
    </row>
    <row r="109" spans="1:63" ht="16" thickBot="1" x14ac:dyDescent="0.25">
      <c r="A109" s="3">
        <v>109</v>
      </c>
      <c r="B109" s="3" t="s">
        <v>444</v>
      </c>
      <c r="C109" s="3" t="s">
        <v>543</v>
      </c>
      <c r="D109" s="1" t="s">
        <v>160</v>
      </c>
      <c r="E109" s="1"/>
      <c r="F109" s="3">
        <v>2022</v>
      </c>
      <c r="G109" s="1" t="s">
        <v>51</v>
      </c>
      <c r="H109" s="1" t="s">
        <v>81</v>
      </c>
      <c r="I109" s="84"/>
      <c r="J109" s="113">
        <f>Table4[[#This Row],[total_cost_npr]]*(1/'Calculations &amp; Assumptions'!$C$6)</f>
        <v>9006.9284064665117</v>
      </c>
      <c r="K109" s="113">
        <f>Table4[[#This Row],[system_cost_npr_per_kwp]]*(1/'Calculations &amp; Assumptions'!$C$6)</f>
        <v>36.027713625866049</v>
      </c>
      <c r="L109" s="23">
        <f>IF(Table4[[#This Row],[total_cost_inr]]&gt;0, Table4[[#This Row],[total_cost_inr]]*'Calculations &amp; Assumptions'!$C$7,IF(Table4[[#This Row],[total_cost_eur]]&gt;0,Table4[[#This Row],[total_cost_eur]]*'Calculations &amp; Assumptions'!$C$5,0))</f>
        <v>1170000</v>
      </c>
      <c r="M109" s="77">
        <f>IF(H109="smartmeter_1ph",Table4[[#This Row],[total_cost_npr]],Table4[[#This Row],[total_cost_npr]]/Table4[[#This Row],[pv_kWp]])</f>
        <v>4680</v>
      </c>
      <c r="N109" s="1"/>
      <c r="O109" s="3"/>
      <c r="P109" s="1">
        <v>9000</v>
      </c>
      <c r="Q109" s="3">
        <f>Table4[[#This Row],[total_cost_eur]]/Table4[[#This Row],[pv_kWp]]</f>
        <v>36</v>
      </c>
      <c r="R109" s="1"/>
      <c r="S109" s="1"/>
      <c r="T109" s="1">
        <v>250</v>
      </c>
      <c r="U109" s="1"/>
      <c r="V109" s="1"/>
      <c r="W109" s="1"/>
      <c r="X109" s="1"/>
      <c r="Y109" s="1"/>
      <c r="Z109" s="1"/>
      <c r="AA109" s="1"/>
      <c r="AB109" s="1"/>
      <c r="AC109" s="1"/>
      <c r="AD109" s="1"/>
      <c r="AE109" s="1"/>
      <c r="AF109" s="1"/>
      <c r="AG109" s="1"/>
      <c r="AH109" s="1"/>
      <c r="AI109" s="6"/>
      <c r="AJ109" s="1"/>
      <c r="AK109" s="1"/>
      <c r="AL109" s="1"/>
      <c r="AM109" s="1"/>
      <c r="AN109" s="1"/>
      <c r="AO109" s="1"/>
      <c r="AP109" s="1"/>
      <c r="AQ109" s="85"/>
      <c r="AR109" s="85"/>
      <c r="AS109" s="1"/>
      <c r="AT109" s="1"/>
      <c r="AU109" s="1"/>
      <c r="AV109" s="1"/>
      <c r="AW109" s="1"/>
      <c r="AX109" s="1"/>
      <c r="AY109" s="1"/>
      <c r="AZ109" s="1"/>
      <c r="BA109" s="1"/>
      <c r="BB109" s="1"/>
      <c r="BC109" s="1"/>
      <c r="BD109" s="1"/>
      <c r="BE109" s="1"/>
      <c r="BF109" s="1"/>
      <c r="BG109" s="1"/>
      <c r="BH109" s="1"/>
      <c r="BI109" s="1"/>
      <c r="BJ109" s="1"/>
      <c r="BK109" s="1"/>
    </row>
    <row r="110" spans="1:63" ht="16" thickBot="1" x14ac:dyDescent="0.25">
      <c r="A110" s="3">
        <v>110</v>
      </c>
      <c r="B110" s="3" t="s">
        <v>444</v>
      </c>
      <c r="C110" s="3" t="s">
        <v>543</v>
      </c>
      <c r="D110" s="1" t="s">
        <v>160</v>
      </c>
      <c r="E110" s="1"/>
      <c r="F110" s="3">
        <v>2022</v>
      </c>
      <c r="G110" s="1" t="s">
        <v>51</v>
      </c>
      <c r="H110" s="1" t="s">
        <v>81</v>
      </c>
      <c r="I110" s="84"/>
      <c r="J110" s="113">
        <f>Table4[[#This Row],[total_cost_npr]]*(1/'Calculations &amp; Assumptions'!$C$6)</f>
        <v>420.32332563510391</v>
      </c>
      <c r="K110" s="113">
        <f>Table4[[#This Row],[system_cost_npr_per_kwp]]*(1/'Calculations &amp; Assumptions'!$C$6)</f>
        <v>140.10777521170129</v>
      </c>
      <c r="L110" s="23">
        <f>IF(Table4[[#This Row],[total_cost_inr]]&gt;0, Table4[[#This Row],[total_cost_inr]]*'Calculations &amp; Assumptions'!$C$7,IF(Table4[[#This Row],[total_cost_eur]]&gt;0,Table4[[#This Row],[total_cost_eur]]*'Calculations &amp; Assumptions'!$C$5,0))</f>
        <v>54600</v>
      </c>
      <c r="M110" s="77">
        <f>IF(H110="smartmeter_1ph",Table4[[#This Row],[total_cost_npr]],Table4[[#This Row],[total_cost_npr]]/Table4[[#This Row],[pv_kWp]])</f>
        <v>18200</v>
      </c>
      <c r="N110" s="1"/>
      <c r="O110" s="3"/>
      <c r="P110" s="1">
        <v>420</v>
      </c>
      <c r="Q110" s="3">
        <f>Table4[[#This Row],[total_cost_eur]]/Table4[[#This Row],[pv_kWp]]</f>
        <v>140</v>
      </c>
      <c r="R110" s="1"/>
      <c r="S110" s="1"/>
      <c r="T110" s="1">
        <v>3</v>
      </c>
      <c r="U110" s="1"/>
      <c r="V110" s="1"/>
      <c r="W110" s="1"/>
      <c r="X110" s="1"/>
      <c r="Y110" s="1"/>
      <c r="Z110" s="1"/>
      <c r="AA110" s="1"/>
      <c r="AB110" s="1"/>
      <c r="AC110" s="1"/>
      <c r="AD110" s="1"/>
      <c r="AE110" s="1"/>
      <c r="AF110" s="1"/>
      <c r="AG110" s="1"/>
      <c r="AH110" s="1"/>
      <c r="AI110" s="6"/>
      <c r="AJ110" s="1"/>
      <c r="AK110" s="1"/>
      <c r="AL110" s="1"/>
      <c r="AM110" s="1"/>
      <c r="AN110" s="1"/>
      <c r="AO110" s="1"/>
      <c r="AP110" s="1"/>
      <c r="AQ110" s="85"/>
      <c r="AR110" s="85"/>
      <c r="AS110" s="1"/>
      <c r="AT110" s="1"/>
      <c r="AU110" s="1"/>
      <c r="AV110" s="1"/>
      <c r="AW110" s="1"/>
      <c r="AX110" s="1"/>
      <c r="AY110" s="1"/>
      <c r="AZ110" s="1"/>
      <c r="BA110" s="1"/>
      <c r="BB110" s="1"/>
      <c r="BC110" s="1"/>
      <c r="BD110" s="1"/>
      <c r="BE110" s="1"/>
      <c r="BF110" s="1"/>
      <c r="BG110" s="1"/>
      <c r="BH110" s="1"/>
      <c r="BI110" s="1"/>
      <c r="BJ110" s="1"/>
      <c r="BK110" s="1"/>
    </row>
    <row r="111" spans="1:63" ht="16" thickBot="1" x14ac:dyDescent="0.25">
      <c r="A111" s="3">
        <v>111</v>
      </c>
      <c r="B111" s="3" t="s">
        <v>444</v>
      </c>
      <c r="C111" s="3" t="s">
        <v>543</v>
      </c>
      <c r="D111" s="1" t="s">
        <v>160</v>
      </c>
      <c r="E111" s="1"/>
      <c r="F111" s="3">
        <v>2022</v>
      </c>
      <c r="G111" s="1" t="s">
        <v>51</v>
      </c>
      <c r="H111" s="1" t="s">
        <v>81</v>
      </c>
      <c r="I111" s="84"/>
      <c r="J111" s="113">
        <f>Table4[[#This Row],[total_cost_npr]]*(1/'Calculations &amp; Assumptions'!$C$6)</f>
        <v>290.22324865280984</v>
      </c>
      <c r="K111" s="113">
        <f>Table4[[#This Row],[system_cost_npr_per_kwp]]*(1/'Calculations &amp; Assumptions'!$C$6)</f>
        <v>290.22324865280984</v>
      </c>
      <c r="L111" s="23">
        <f>IF(Table4[[#This Row],[total_cost_inr]]&gt;0, Table4[[#This Row],[total_cost_inr]]*'Calculations &amp; Assumptions'!$C$7,IF(Table4[[#This Row],[total_cost_eur]]&gt;0,Table4[[#This Row],[total_cost_eur]]*'Calculations &amp; Assumptions'!$C$5,0))</f>
        <v>37700</v>
      </c>
      <c r="M111" s="77">
        <f>IF(H111="smartmeter_1ph",Table4[[#This Row],[total_cost_npr]],Table4[[#This Row],[total_cost_npr]]/Table4[[#This Row],[pv_kWp]])</f>
        <v>37700</v>
      </c>
      <c r="N111" s="1"/>
      <c r="O111" s="3"/>
      <c r="P111" s="1">
        <v>290</v>
      </c>
      <c r="Q111" s="3">
        <f>Table4[[#This Row],[total_cost_eur]]/Table4[[#This Row],[pv_kWp]]</f>
        <v>290</v>
      </c>
      <c r="R111" s="1"/>
      <c r="S111" s="1"/>
      <c r="T111" s="1">
        <v>1</v>
      </c>
      <c r="U111" s="1"/>
      <c r="V111" s="1"/>
      <c r="W111" s="1"/>
      <c r="X111" s="1"/>
      <c r="Y111" s="1"/>
      <c r="Z111" s="1"/>
      <c r="AA111" s="1"/>
      <c r="AB111" s="1"/>
      <c r="AC111" s="1"/>
      <c r="AD111" s="1"/>
      <c r="AE111" s="1"/>
      <c r="AF111" s="1"/>
      <c r="AG111" s="1"/>
      <c r="AH111" s="1"/>
      <c r="AI111" s="6"/>
      <c r="AJ111" s="1"/>
      <c r="AK111" s="1"/>
      <c r="AL111" s="1"/>
      <c r="AM111" s="1"/>
      <c r="AN111" s="1"/>
      <c r="AO111" s="1"/>
      <c r="AP111" s="1"/>
      <c r="AQ111" s="85"/>
      <c r="AR111" s="85"/>
      <c r="AS111" s="1"/>
      <c r="AT111" s="1"/>
      <c r="AU111" s="1"/>
      <c r="AV111" s="1"/>
      <c r="AW111" s="1"/>
      <c r="AX111" s="1"/>
      <c r="AY111" s="1"/>
      <c r="AZ111" s="1"/>
      <c r="BA111" s="1"/>
      <c r="BB111" s="1"/>
      <c r="BC111" s="1"/>
      <c r="BD111" s="1"/>
      <c r="BE111" s="1"/>
      <c r="BF111" s="1"/>
      <c r="BG111" s="1"/>
      <c r="BH111" s="1"/>
      <c r="BI111" s="1"/>
      <c r="BJ111" s="1"/>
      <c r="BK111" s="1"/>
    </row>
    <row r="112" spans="1:63" ht="16" thickBot="1" x14ac:dyDescent="0.25">
      <c r="A112" s="3">
        <v>112</v>
      </c>
      <c r="B112" s="3" t="s">
        <v>444</v>
      </c>
      <c r="C112" s="3" t="s">
        <v>543</v>
      </c>
      <c r="D112" s="1" t="s">
        <v>160</v>
      </c>
      <c r="E112" s="1"/>
      <c r="F112" s="3">
        <v>2022</v>
      </c>
      <c r="G112" s="1" t="s">
        <v>51</v>
      </c>
      <c r="H112" s="1" t="s">
        <v>58</v>
      </c>
      <c r="I112" s="84"/>
      <c r="J112" s="113">
        <f>Table4[[#This Row],[total_cost_npr]]*(1/'Calculations &amp; Assumptions'!$C$6)</f>
        <v>15511.932255581214</v>
      </c>
      <c r="K112" s="113">
        <f>Table4[[#This Row],[system_cost_npr_per_kwp]]*(1/'Calculations &amp; Assumptions'!$C$6)</f>
        <v>310.23864511162429</v>
      </c>
      <c r="L112" s="23">
        <f>IF(Table4[[#This Row],[total_cost_inr]]&gt;0, Table4[[#This Row],[total_cost_inr]]*'Calculations &amp; Assumptions'!$C$7,IF(Table4[[#This Row],[total_cost_eur]]&gt;0,Table4[[#This Row],[total_cost_eur]]*'Calculations &amp; Assumptions'!$C$5,0))</f>
        <v>2015000</v>
      </c>
      <c r="M112" s="77">
        <f>IF(H112="smartmeter_1ph",Table4[[#This Row],[total_cost_npr]],Table4[[#This Row],[total_cost_npr]]/Table4[[#This Row],[pv_kWp]])</f>
        <v>40300</v>
      </c>
      <c r="N112" s="1"/>
      <c r="O112" s="3"/>
      <c r="P112" s="1">
        <v>15500</v>
      </c>
      <c r="Q112" s="3">
        <f>Table4[[#This Row],[total_cost_eur]]/Table4[[#This Row],[pv_kWp]]</f>
        <v>310</v>
      </c>
      <c r="R112" s="1"/>
      <c r="S112" s="1"/>
      <c r="T112" s="1">
        <v>50</v>
      </c>
      <c r="U112" s="1"/>
      <c r="V112" s="1"/>
      <c r="W112" s="1"/>
      <c r="X112" s="1"/>
      <c r="Y112" s="1"/>
      <c r="Z112" s="1"/>
      <c r="AA112" s="1"/>
      <c r="AB112" s="1"/>
      <c r="AC112" s="1"/>
      <c r="AD112" s="1"/>
      <c r="AE112" s="1"/>
      <c r="AF112" s="1"/>
      <c r="AG112" s="1"/>
      <c r="AH112" s="1"/>
      <c r="AI112" s="6"/>
      <c r="AJ112" s="1"/>
      <c r="AK112" s="1"/>
      <c r="AL112" s="1"/>
      <c r="AM112" s="1"/>
      <c r="AN112" s="1"/>
      <c r="AO112" s="1"/>
      <c r="AP112" s="1"/>
      <c r="AQ112" s="85"/>
      <c r="AR112" s="85"/>
      <c r="AS112" s="1"/>
      <c r="AT112" s="1"/>
      <c r="AU112" s="1"/>
      <c r="AV112" s="1"/>
      <c r="AW112" s="1"/>
      <c r="AX112" s="1"/>
      <c r="AY112" s="1"/>
      <c r="AZ112" s="1"/>
      <c r="BA112" s="1"/>
      <c r="BB112" s="1"/>
      <c r="BC112" s="1"/>
      <c r="BD112" s="1"/>
      <c r="BE112" s="1"/>
      <c r="BF112" s="1"/>
      <c r="BG112" s="1"/>
      <c r="BH112" s="1"/>
      <c r="BI112" s="1"/>
      <c r="BJ112" s="1"/>
      <c r="BK112" s="1"/>
    </row>
    <row r="113" spans="1:63" ht="16" thickBot="1" x14ac:dyDescent="0.25">
      <c r="A113" s="3">
        <v>113</v>
      </c>
      <c r="B113" s="84" t="s">
        <v>444</v>
      </c>
      <c r="C113" s="3" t="s">
        <v>543</v>
      </c>
      <c r="D113" s="3" t="s">
        <v>160</v>
      </c>
      <c r="E113" s="1"/>
      <c r="F113" s="3">
        <v>2022</v>
      </c>
      <c r="G113" s="1" t="s">
        <v>51</v>
      </c>
      <c r="H113" s="1" t="s">
        <v>58</v>
      </c>
      <c r="I113" s="1"/>
      <c r="J113" s="113">
        <f>Table4[[#This Row],[total_cost_npr]]*(1/'Calculations &amp; Assumptions'!$C$6)</f>
        <v>840646.65127020783</v>
      </c>
      <c r="K113" s="113">
        <f>Table4[[#This Row],[system_cost_npr_per_kwp]]*(1/'Calculations &amp; Assumptions'!$C$6)</f>
        <v>280.21555042340259</v>
      </c>
      <c r="L113" s="23">
        <f>IF(Table4[[#This Row],[total_cost_inr]]&gt;0, Table4[[#This Row],[total_cost_inr]]*'Calculations &amp; Assumptions'!$C$7,IF(Table4[[#This Row],[total_cost_eur]]&gt;0,Table4[[#This Row],[total_cost_eur]]*'Calculations &amp; Assumptions'!$C$5,0))</f>
        <v>109200000</v>
      </c>
      <c r="M113" s="77">
        <f>IF(H113="smartmeter_1ph",Table4[[#This Row],[total_cost_npr]],Table4[[#This Row],[total_cost_npr]]/Table4[[#This Row],[pv_kWp]])</f>
        <v>36400</v>
      </c>
      <c r="N113" s="1"/>
      <c r="O113" s="3"/>
      <c r="P113" s="1">
        <v>840000</v>
      </c>
      <c r="Q113" s="3">
        <f>Table4[[#This Row],[total_cost_eur]]/Table4[[#This Row],[pv_kWp]]</f>
        <v>280</v>
      </c>
      <c r="R113" s="1"/>
      <c r="S113" s="1"/>
      <c r="T113" s="1">
        <v>3000</v>
      </c>
      <c r="U113" s="1"/>
      <c r="V113" s="1"/>
      <c r="W113" s="1"/>
      <c r="X113" s="1"/>
      <c r="Y113" s="1"/>
      <c r="Z113" s="1"/>
      <c r="AA113" s="1"/>
      <c r="AB113" s="1"/>
      <c r="AC113" s="1"/>
      <c r="AD113" s="1"/>
      <c r="AE113" s="1"/>
      <c r="AF113" s="1"/>
      <c r="AG113" s="1"/>
      <c r="AH113" s="1"/>
      <c r="AI113" s="6"/>
      <c r="AJ113" s="1"/>
      <c r="AK113" s="1"/>
      <c r="AL113" s="1"/>
      <c r="AM113" s="1"/>
      <c r="AN113" s="1"/>
      <c r="AO113" s="1"/>
      <c r="AP113" s="1"/>
      <c r="AQ113" s="85"/>
      <c r="AR113" s="85"/>
      <c r="AS113" s="1"/>
      <c r="AT113" s="1"/>
      <c r="AU113" s="1"/>
      <c r="AV113" s="1"/>
      <c r="AW113" s="1"/>
      <c r="AX113" s="1"/>
      <c r="AY113" s="1"/>
      <c r="AZ113" s="1"/>
      <c r="BA113" s="1"/>
      <c r="BB113" s="1"/>
      <c r="BC113" s="1"/>
      <c r="BD113" s="1"/>
      <c r="BE113" s="1"/>
      <c r="BF113" s="1"/>
      <c r="BG113" s="1"/>
      <c r="BH113" s="1"/>
      <c r="BI113" s="1"/>
      <c r="BJ113" s="1"/>
      <c r="BK113" s="1"/>
    </row>
    <row r="114" spans="1:63" ht="16" thickBot="1" x14ac:dyDescent="0.25">
      <c r="A114" s="3">
        <v>114</v>
      </c>
      <c r="B114" s="84" t="s">
        <v>444</v>
      </c>
      <c r="C114" s="3" t="s">
        <v>543</v>
      </c>
      <c r="D114" s="3" t="s">
        <v>160</v>
      </c>
      <c r="E114" s="1"/>
      <c r="F114" s="3">
        <v>2022</v>
      </c>
      <c r="G114" s="1" t="s">
        <v>51</v>
      </c>
      <c r="H114" s="1" t="s">
        <v>447</v>
      </c>
      <c r="I114" s="1"/>
      <c r="J114" s="113">
        <f>Table4[[#This Row],[total_cost_npr]]*(1/'Calculations &amp; Assumptions'!$C$6)</f>
        <v>1150.8852963818322</v>
      </c>
      <c r="K114" s="113">
        <f>Table4[[#This Row],[system_cost_npr_per_kwp]]*(1/'Calculations &amp; Assumptions'!$C$6)</f>
        <v>23.017705927636641</v>
      </c>
      <c r="L114" s="23">
        <f>IF(Table4[[#This Row],[total_cost_inr]]&gt;0, Table4[[#This Row],[total_cost_inr]]*'Calculations &amp; Assumptions'!$C$7,IF(Table4[[#This Row],[total_cost_eur]]&gt;0,Table4[[#This Row],[total_cost_eur]]*'Calculations &amp; Assumptions'!$C$5,0))</f>
        <v>149500</v>
      </c>
      <c r="M114" s="77">
        <f>IF(H114="smartmeter_1ph",Table4[[#This Row],[total_cost_npr]],Table4[[#This Row],[total_cost_npr]]/Table4[[#This Row],[pv_kWp]])</f>
        <v>2990</v>
      </c>
      <c r="N114" s="1"/>
      <c r="O114" s="3"/>
      <c r="P114" s="1">
        <v>1150</v>
      </c>
      <c r="Q114" s="3">
        <f>Table4[[#This Row],[total_cost_eur]]/Table4[[#This Row],[pv_kWp]]</f>
        <v>23</v>
      </c>
      <c r="R114" s="1"/>
      <c r="S114" s="1"/>
      <c r="T114" s="1">
        <v>50</v>
      </c>
      <c r="U114" s="1"/>
      <c r="V114" s="1"/>
      <c r="W114" s="1"/>
      <c r="X114" s="1"/>
      <c r="Y114" s="1"/>
      <c r="Z114" s="1"/>
      <c r="AA114" s="1"/>
      <c r="AB114" s="1"/>
      <c r="AC114" s="1"/>
      <c r="AD114" s="1"/>
      <c r="AE114" s="1"/>
      <c r="AF114" s="1"/>
      <c r="AG114" s="1"/>
      <c r="AH114" s="1"/>
      <c r="AI114" s="6"/>
      <c r="AJ114" s="1"/>
      <c r="AK114" s="1"/>
      <c r="AL114" s="1"/>
      <c r="AM114" s="1"/>
      <c r="AN114" s="1"/>
      <c r="AO114" s="1"/>
      <c r="AP114" s="1"/>
      <c r="AQ114" s="85"/>
      <c r="AR114" s="85"/>
      <c r="AS114" s="1"/>
      <c r="AT114" s="1"/>
      <c r="AU114" s="1"/>
      <c r="AV114" s="1"/>
      <c r="AW114" s="1"/>
      <c r="AX114" s="1"/>
      <c r="AY114" s="1"/>
      <c r="AZ114" s="1"/>
      <c r="BA114" s="1"/>
      <c r="BB114" s="1"/>
      <c r="BC114" s="1"/>
      <c r="BD114" s="1"/>
      <c r="BE114" s="1"/>
      <c r="BF114" s="1"/>
      <c r="BG114" s="1"/>
      <c r="BH114" s="1"/>
      <c r="BI114" s="1"/>
      <c r="BJ114" s="1"/>
      <c r="BK114" s="1"/>
    </row>
    <row r="115" spans="1:63" ht="16" thickBot="1" x14ac:dyDescent="0.25">
      <c r="A115" s="3">
        <v>115</v>
      </c>
      <c r="B115" s="84" t="s">
        <v>444</v>
      </c>
      <c r="C115" s="3" t="s">
        <v>543</v>
      </c>
      <c r="D115" s="3" t="s">
        <v>160</v>
      </c>
      <c r="E115" s="1"/>
      <c r="F115" s="3">
        <v>2022</v>
      </c>
      <c r="G115" s="1" t="s">
        <v>51</v>
      </c>
      <c r="H115" s="1" t="s">
        <v>447</v>
      </c>
      <c r="I115" s="1"/>
      <c r="J115" s="113">
        <f>Table4[[#This Row],[total_cost_npr]]*(1/'Calculations &amp; Assumptions'!$C$6)</f>
        <v>285219.39953810623</v>
      </c>
      <c r="K115" s="113">
        <f>Table4[[#This Row],[system_cost_npr_per_kwp]]*(1/'Calculations &amp; Assumptions'!$C$6)</f>
        <v>95.073133179368739</v>
      </c>
      <c r="L115" s="23">
        <f>IF(Table4[[#This Row],[total_cost_inr]]&gt;0, Table4[[#This Row],[total_cost_inr]]*'Calculations &amp; Assumptions'!$C$7,IF(Table4[[#This Row],[total_cost_eur]]&gt;0,Table4[[#This Row],[total_cost_eur]]*'Calculations &amp; Assumptions'!$C$5,0))</f>
        <v>37050000</v>
      </c>
      <c r="M115" s="77">
        <f>IF(H115="smartmeter_1ph",Table4[[#This Row],[total_cost_npr]],Table4[[#This Row],[total_cost_npr]]/Table4[[#This Row],[pv_kWp]])</f>
        <v>12350</v>
      </c>
      <c r="N115" s="1"/>
      <c r="O115" s="3"/>
      <c r="P115" s="1">
        <v>285000</v>
      </c>
      <c r="Q115" s="3">
        <f>Table4[[#This Row],[total_cost_eur]]/Table4[[#This Row],[pv_kWp]]</f>
        <v>95</v>
      </c>
      <c r="R115" s="1"/>
      <c r="S115" s="1"/>
      <c r="T115" s="1">
        <v>3000</v>
      </c>
      <c r="U115" s="1"/>
      <c r="V115" s="1"/>
      <c r="W115" s="1"/>
      <c r="X115" s="1"/>
      <c r="Y115" s="1"/>
      <c r="Z115" s="1"/>
      <c r="AA115" s="1"/>
      <c r="AB115" s="1"/>
      <c r="AC115" s="1"/>
      <c r="AD115" s="1"/>
      <c r="AE115" s="1"/>
      <c r="AF115" s="1"/>
      <c r="AG115" s="1"/>
      <c r="AH115" s="1"/>
      <c r="AI115" s="6"/>
      <c r="AJ115" s="1"/>
      <c r="AK115" s="1"/>
      <c r="AL115" s="1"/>
      <c r="AM115" s="1"/>
      <c r="AN115" s="1"/>
      <c r="AO115" s="1"/>
      <c r="AP115" s="1"/>
      <c r="AQ115" s="85"/>
      <c r="AR115" s="85"/>
      <c r="AS115" s="1"/>
      <c r="AT115" s="1"/>
      <c r="AU115" s="1"/>
      <c r="AV115" s="1"/>
      <c r="AW115" s="1"/>
      <c r="AX115" s="1"/>
      <c r="AY115" s="1"/>
      <c r="AZ115" s="1"/>
      <c r="BA115" s="1"/>
      <c r="BB115" s="1"/>
      <c r="BC115" s="1"/>
      <c r="BD115" s="1"/>
      <c r="BE115" s="1"/>
      <c r="BF115" s="1"/>
      <c r="BG115" s="1"/>
      <c r="BH115" s="1"/>
      <c r="BI115" s="1"/>
      <c r="BJ115" s="1"/>
      <c r="BK115" s="1"/>
    </row>
    <row r="116" spans="1:63" ht="16" thickBot="1" x14ac:dyDescent="0.25">
      <c r="A116" s="3">
        <v>116</v>
      </c>
      <c r="B116" s="84" t="s">
        <v>448</v>
      </c>
      <c r="C116" s="3" t="s">
        <v>543</v>
      </c>
      <c r="D116" s="3" t="s">
        <v>160</v>
      </c>
      <c r="E116" s="1"/>
      <c r="F116" s="3">
        <v>2022</v>
      </c>
      <c r="G116" s="1" t="s">
        <v>51</v>
      </c>
      <c r="H116" s="1" t="s">
        <v>81</v>
      </c>
      <c r="I116" s="1"/>
      <c r="J116" s="113">
        <f>Table4[[#This Row],[total_cost_npr]]*(1/'Calculations &amp; Assumptions'!$C$6)</f>
        <v>2602.0015396458812</v>
      </c>
      <c r="K116" s="113">
        <f>Table4[[#This Row],[system_cost_npr_per_kwp]]*(1/'Calculations &amp; Assumptions'!$C$6)</f>
        <v>52.040030792917626</v>
      </c>
      <c r="L116" s="23">
        <f>IF(Table4[[#This Row],[total_cost_inr]]&gt;0, Table4[[#This Row],[total_cost_inr]]*'Calculations &amp; Assumptions'!$C$7,IF(Table4[[#This Row],[total_cost_eur]]&gt;0,Table4[[#This Row],[total_cost_eur]]*'Calculations &amp; Assumptions'!$C$5,0))</f>
        <v>338000</v>
      </c>
      <c r="M116" s="77">
        <f>IF(H116="smartmeter_1ph",Table4[[#This Row],[total_cost_npr]],Table4[[#This Row],[total_cost_npr]]/Table4[[#This Row],[pv_kWp]])</f>
        <v>6760</v>
      </c>
      <c r="N116" s="1"/>
      <c r="O116" s="3"/>
      <c r="P116" s="1">
        <v>2600</v>
      </c>
      <c r="Q116" s="3">
        <f>Table4[[#This Row],[total_cost_eur]]/Table4[[#This Row],[pv_kWp]]</f>
        <v>52</v>
      </c>
      <c r="R116" s="1"/>
      <c r="S116" s="1"/>
      <c r="T116" s="1">
        <v>50</v>
      </c>
      <c r="U116" s="1"/>
      <c r="V116" s="1"/>
      <c r="W116" s="1"/>
      <c r="X116" s="1"/>
      <c r="Y116" s="1"/>
      <c r="Z116" s="1"/>
      <c r="AA116" s="1"/>
      <c r="AB116" s="1"/>
      <c r="AC116" s="1"/>
      <c r="AD116" s="1"/>
      <c r="AE116" s="1"/>
      <c r="AF116" s="1"/>
      <c r="AG116" s="1"/>
      <c r="AH116" s="1"/>
      <c r="AI116" s="6"/>
      <c r="AJ116" s="1"/>
      <c r="AK116" s="1"/>
      <c r="AL116" s="1"/>
      <c r="AM116" s="1"/>
      <c r="AN116" s="1"/>
      <c r="AO116" s="1"/>
      <c r="AP116" s="1"/>
      <c r="AQ116" s="85"/>
      <c r="AR116" s="85"/>
      <c r="AS116" s="1"/>
      <c r="AT116" s="1"/>
      <c r="AU116" s="1"/>
      <c r="AV116" s="1"/>
      <c r="AW116" s="1"/>
      <c r="AX116" s="1"/>
      <c r="AY116" s="1"/>
      <c r="AZ116" s="1"/>
      <c r="BA116" s="1"/>
      <c r="BB116" s="1"/>
      <c r="BC116" s="1"/>
      <c r="BD116" s="1"/>
      <c r="BE116" s="1"/>
      <c r="BF116" s="1"/>
      <c r="BG116" s="1"/>
      <c r="BH116" s="1"/>
      <c r="BI116" s="1"/>
      <c r="BJ116" s="1"/>
      <c r="BK116" s="1"/>
    </row>
    <row r="117" spans="1:63" ht="16" thickBot="1" x14ac:dyDescent="0.25">
      <c r="A117" s="3">
        <v>117</v>
      </c>
      <c r="B117" s="84" t="s">
        <v>448</v>
      </c>
      <c r="C117" s="3" t="s">
        <v>543</v>
      </c>
      <c r="D117" s="3" t="s">
        <v>160</v>
      </c>
      <c r="E117" s="1"/>
      <c r="F117" s="3">
        <v>2022</v>
      </c>
      <c r="G117" s="1" t="s">
        <v>51</v>
      </c>
      <c r="H117" s="1" t="s">
        <v>81</v>
      </c>
      <c r="I117" s="1"/>
      <c r="J117" s="113">
        <f>Table4[[#This Row],[total_cost_npr]]*(1/'Calculations &amp; Assumptions'!$C$6)</f>
        <v>120092.37875288683</v>
      </c>
      <c r="K117" s="113">
        <f>Table4[[#This Row],[system_cost_npr_per_kwp]]*(1/'Calculations &amp; Assumptions'!$C$6)</f>
        <v>40.030792917628943</v>
      </c>
      <c r="L117" s="23">
        <f>IF(Table4[[#This Row],[total_cost_inr]]&gt;0, Table4[[#This Row],[total_cost_inr]]*'Calculations &amp; Assumptions'!$C$7,IF(Table4[[#This Row],[total_cost_eur]]&gt;0,Table4[[#This Row],[total_cost_eur]]*'Calculations &amp; Assumptions'!$C$5,0))</f>
        <v>15600000</v>
      </c>
      <c r="M117" s="77">
        <f>IF(H117="smartmeter_1ph",Table4[[#This Row],[total_cost_npr]],Table4[[#This Row],[total_cost_npr]]/Table4[[#This Row],[pv_kWp]])</f>
        <v>5200</v>
      </c>
      <c r="N117" s="1"/>
      <c r="O117" s="3"/>
      <c r="P117" s="1">
        <v>120000</v>
      </c>
      <c r="Q117" s="3">
        <f>Table4[[#This Row],[total_cost_eur]]/Table4[[#This Row],[pv_kWp]]</f>
        <v>40</v>
      </c>
      <c r="R117" s="1"/>
      <c r="S117" s="1"/>
      <c r="T117" s="1">
        <v>3000</v>
      </c>
      <c r="U117" s="1"/>
      <c r="V117" s="1"/>
      <c r="W117" s="1"/>
      <c r="X117" s="1"/>
      <c r="Y117" s="1"/>
      <c r="Z117" s="1"/>
      <c r="AA117" s="1"/>
      <c r="AB117" s="1"/>
      <c r="AC117" s="1"/>
      <c r="AD117" s="1"/>
      <c r="AE117" s="1"/>
      <c r="AF117" s="1"/>
      <c r="AG117" s="1"/>
      <c r="AH117" s="1"/>
      <c r="AI117" s="6"/>
      <c r="AJ117" s="1"/>
      <c r="AK117" s="1"/>
      <c r="AL117" s="1"/>
      <c r="AM117" s="1"/>
      <c r="AN117" s="1"/>
      <c r="AO117" s="1"/>
      <c r="AP117" s="1"/>
      <c r="AQ117" s="85"/>
      <c r="AR117" s="85"/>
      <c r="AS117" s="1"/>
      <c r="AT117" s="1"/>
      <c r="AU117" s="1"/>
      <c r="AV117" s="1"/>
      <c r="AW117" s="1"/>
      <c r="AX117" s="1"/>
      <c r="AY117" s="1"/>
      <c r="AZ117" s="1"/>
      <c r="BA117" s="1"/>
      <c r="BB117" s="1"/>
      <c r="BC117" s="1"/>
      <c r="BD117" s="1"/>
      <c r="BE117" s="1"/>
      <c r="BF117" s="1"/>
      <c r="BG117" s="1"/>
      <c r="BH117" s="1"/>
      <c r="BI117" s="1"/>
      <c r="BJ117" s="1"/>
      <c r="BK117" s="1"/>
    </row>
    <row r="118" spans="1:63" ht="16" thickBot="1" x14ac:dyDescent="0.25">
      <c r="A118" s="3">
        <v>118</v>
      </c>
      <c r="B118" s="84" t="s">
        <v>448</v>
      </c>
      <c r="C118" s="3" t="s">
        <v>543</v>
      </c>
      <c r="D118" s="3" t="s">
        <v>160</v>
      </c>
      <c r="E118" s="1"/>
      <c r="F118" s="3">
        <v>2022</v>
      </c>
      <c r="G118" s="1" t="s">
        <v>51</v>
      </c>
      <c r="H118" s="1" t="s">
        <v>81</v>
      </c>
      <c r="I118" s="84"/>
      <c r="J118" s="113">
        <f>Table4[[#This Row],[total_cost_npr]]*(1/'Calculations &amp; Assumptions'!$C$6)</f>
        <v>10007.698229407235</v>
      </c>
      <c r="K118" s="113">
        <f>Table4[[#This Row],[system_cost_npr_per_kwp]]*(1/'Calculations &amp; Assumptions'!$C$6)</f>
        <v>50.038491147036176</v>
      </c>
      <c r="L118" s="23">
        <f>IF(Table4[[#This Row],[total_cost_inr]]&gt;0, Table4[[#This Row],[total_cost_inr]]*'Calculations &amp; Assumptions'!$C$7,IF(Table4[[#This Row],[total_cost_eur]]&gt;0,Table4[[#This Row],[total_cost_eur]]*'Calculations &amp; Assumptions'!$C$5,0))</f>
        <v>1300000</v>
      </c>
      <c r="M118" s="77">
        <f>IF(H118="smartmeter_1ph",Table4[[#This Row],[total_cost_npr]],Table4[[#This Row],[total_cost_npr]]/Table4[[#This Row],[pv_kWp]])</f>
        <v>6500</v>
      </c>
      <c r="N118" s="1"/>
      <c r="O118" s="3"/>
      <c r="P118" s="1">
        <v>10000</v>
      </c>
      <c r="Q118" s="3">
        <f>Table4[[#This Row],[total_cost_eur]]/Table4[[#This Row],[pv_kWp]]</f>
        <v>50</v>
      </c>
      <c r="R118" s="1"/>
      <c r="S118" s="1"/>
      <c r="T118" s="1">
        <v>200</v>
      </c>
      <c r="U118" s="1"/>
      <c r="V118" s="1"/>
      <c r="W118" s="1"/>
      <c r="X118" s="1"/>
      <c r="Y118" s="1"/>
      <c r="Z118" s="1"/>
      <c r="AA118" s="1"/>
      <c r="AB118" s="1"/>
      <c r="AC118" s="1"/>
      <c r="AD118" s="1"/>
      <c r="AE118" s="1"/>
      <c r="AF118" s="1"/>
      <c r="AG118" s="1"/>
      <c r="AH118" s="1"/>
      <c r="AI118" s="6"/>
      <c r="AJ118" s="1"/>
      <c r="AK118" s="1"/>
      <c r="AL118" s="1"/>
      <c r="AM118" s="1"/>
      <c r="AN118" s="1"/>
      <c r="AO118" s="1"/>
      <c r="AP118" s="1"/>
      <c r="AQ118" s="85"/>
      <c r="AR118" s="85"/>
      <c r="AS118" s="1"/>
      <c r="AT118" s="1"/>
      <c r="AU118" s="1"/>
      <c r="AV118" s="1"/>
      <c r="AW118" s="1"/>
      <c r="AX118" s="1"/>
      <c r="AY118" s="1"/>
      <c r="AZ118" s="1"/>
      <c r="BA118" s="1"/>
      <c r="BB118" s="1"/>
      <c r="BC118" s="1"/>
      <c r="BD118" s="1"/>
      <c r="BE118" s="1"/>
      <c r="BF118" s="1"/>
      <c r="BG118" s="1"/>
      <c r="BH118" s="1"/>
      <c r="BI118" s="1"/>
      <c r="BJ118" s="1"/>
      <c r="BK118" s="1"/>
    </row>
    <row r="119" spans="1:63" ht="16" thickBot="1" x14ac:dyDescent="0.25">
      <c r="A119" s="3">
        <v>119</v>
      </c>
      <c r="B119" s="84" t="s">
        <v>448</v>
      </c>
      <c r="C119" s="3" t="s">
        <v>543</v>
      </c>
      <c r="D119" s="3" t="s">
        <v>160</v>
      </c>
      <c r="E119" s="1"/>
      <c r="F119" s="3">
        <v>2022</v>
      </c>
      <c r="G119" s="1" t="s">
        <v>51</v>
      </c>
      <c r="H119" s="1" t="s">
        <v>81</v>
      </c>
      <c r="I119" s="84"/>
      <c r="J119" s="113">
        <f>Table4[[#This Row],[total_cost_npr]]*(1/'Calculations &amp; Assumptions'!$C$6)</f>
        <v>660.50808314087749</v>
      </c>
      <c r="K119" s="113">
        <f>Table4[[#This Row],[system_cost_npr_per_kwp]]*(1/'Calculations &amp; Assumptions'!$C$6)</f>
        <v>220.16936104695918</v>
      </c>
      <c r="L119" s="23">
        <f>IF(Table4[[#This Row],[total_cost_inr]]&gt;0, Table4[[#This Row],[total_cost_inr]]*'Calculations &amp; Assumptions'!$C$7,IF(Table4[[#This Row],[total_cost_eur]]&gt;0,Table4[[#This Row],[total_cost_eur]]*'Calculations &amp; Assumptions'!$C$5,0))</f>
        <v>85800</v>
      </c>
      <c r="M119" s="77">
        <f>IF(H119="smartmeter_1ph",Table4[[#This Row],[total_cost_npr]],Table4[[#This Row],[total_cost_npr]]/Table4[[#This Row],[pv_kWp]])</f>
        <v>28600</v>
      </c>
      <c r="N119" s="1"/>
      <c r="O119" s="3"/>
      <c r="P119" s="1">
        <v>660</v>
      </c>
      <c r="Q119" s="3">
        <f>Table4[[#This Row],[total_cost_eur]]/Table4[[#This Row],[pv_kWp]]</f>
        <v>220</v>
      </c>
      <c r="R119" s="1"/>
      <c r="S119" s="1"/>
      <c r="T119" s="1">
        <v>3</v>
      </c>
      <c r="U119" s="1"/>
      <c r="V119" s="1"/>
      <c r="W119" s="1"/>
      <c r="X119" s="1"/>
      <c r="Y119" s="1"/>
      <c r="Z119" s="1"/>
      <c r="AA119" s="1"/>
      <c r="AB119" s="1"/>
      <c r="AC119" s="1"/>
      <c r="AD119" s="1"/>
      <c r="AE119" s="1"/>
      <c r="AF119" s="1"/>
      <c r="AG119" s="1"/>
      <c r="AH119" s="1"/>
      <c r="AI119" s="6"/>
      <c r="AJ119" s="1"/>
      <c r="AK119" s="1"/>
      <c r="AL119" s="1"/>
      <c r="AM119" s="1"/>
      <c r="AN119" s="1"/>
      <c r="AO119" s="1"/>
      <c r="AP119" s="1"/>
      <c r="AQ119" s="85"/>
      <c r="AR119" s="85"/>
      <c r="AS119" s="1"/>
      <c r="AT119" s="1"/>
      <c r="AU119" s="1"/>
      <c r="AV119" s="1"/>
      <c r="AW119" s="1"/>
      <c r="AX119" s="1"/>
      <c r="AY119" s="1"/>
      <c r="AZ119" s="1"/>
      <c r="BA119" s="1"/>
      <c r="BB119" s="1"/>
      <c r="BC119" s="1"/>
      <c r="BD119" s="1"/>
      <c r="BE119" s="1"/>
      <c r="BF119" s="1"/>
      <c r="BG119" s="1"/>
      <c r="BH119" s="1"/>
      <c r="BI119" s="1"/>
      <c r="BJ119" s="1"/>
      <c r="BK119" s="1"/>
    </row>
    <row r="120" spans="1:63" ht="16" thickBot="1" x14ac:dyDescent="0.25">
      <c r="A120" s="3">
        <v>120</v>
      </c>
      <c r="B120" s="84" t="s">
        <v>448</v>
      </c>
      <c r="C120" s="3" t="s">
        <v>543</v>
      </c>
      <c r="D120" s="3" t="s">
        <v>160</v>
      </c>
      <c r="E120" s="1"/>
      <c r="F120" s="3">
        <v>2022</v>
      </c>
      <c r="G120" s="1" t="s">
        <v>51</v>
      </c>
      <c r="H120" s="1" t="s">
        <v>81</v>
      </c>
      <c r="I120" s="84"/>
      <c r="J120" s="113">
        <f>Table4[[#This Row],[total_cost_npr]]*(1/'Calculations &amp; Assumptions'!$C$6)</f>
        <v>960.73903002309464</v>
      </c>
      <c r="K120" s="113">
        <f>Table4[[#This Row],[system_cost_npr_per_kwp]]*(1/'Calculations &amp; Assumptions'!$C$6)</f>
        <v>320.24634334103155</v>
      </c>
      <c r="L120" s="23">
        <f>IF(Table4[[#This Row],[total_cost_inr]]&gt;0, Table4[[#This Row],[total_cost_inr]]*'Calculations &amp; Assumptions'!$C$7,IF(Table4[[#This Row],[total_cost_eur]]&gt;0,Table4[[#This Row],[total_cost_eur]]*'Calculations &amp; Assumptions'!$C$5,0))</f>
        <v>124800</v>
      </c>
      <c r="M120" s="77">
        <f>IF(H120="smartmeter_1ph",Table4[[#This Row],[total_cost_npr]],Table4[[#This Row],[total_cost_npr]]/Table4[[#This Row],[pv_kWp]])</f>
        <v>41600</v>
      </c>
      <c r="N120" s="1"/>
      <c r="O120" s="3"/>
      <c r="P120" s="1">
        <v>960</v>
      </c>
      <c r="Q120" s="3">
        <f>Table4[[#This Row],[total_cost_eur]]/Table4[[#This Row],[pv_kWp]]</f>
        <v>320</v>
      </c>
      <c r="R120" s="1"/>
      <c r="S120" s="1"/>
      <c r="T120" s="1">
        <v>3</v>
      </c>
      <c r="U120" s="1"/>
      <c r="V120" s="1"/>
      <c r="W120" s="1"/>
      <c r="X120" s="1"/>
      <c r="Y120" s="1"/>
      <c r="Z120" s="1"/>
      <c r="AA120" s="1"/>
      <c r="AB120" s="1"/>
      <c r="AC120" s="1"/>
      <c r="AD120" s="1"/>
      <c r="AE120" s="1"/>
      <c r="AF120" s="1"/>
      <c r="AG120" s="1"/>
      <c r="AH120" s="1"/>
      <c r="AI120" s="6"/>
      <c r="AJ120" s="1"/>
      <c r="AK120" s="1"/>
      <c r="AL120" s="1"/>
      <c r="AM120" s="1"/>
      <c r="AN120" s="1"/>
      <c r="AO120" s="1"/>
      <c r="AP120" s="1"/>
      <c r="AQ120" s="85"/>
      <c r="AR120" s="85"/>
      <c r="AS120" s="1"/>
      <c r="AT120" s="1"/>
      <c r="AU120" s="1"/>
      <c r="AV120" s="1"/>
      <c r="AW120" s="1"/>
      <c r="AX120" s="1"/>
      <c r="AY120" s="1"/>
      <c r="AZ120" s="1"/>
      <c r="BA120" s="1"/>
      <c r="BB120" s="1"/>
      <c r="BC120" s="1"/>
      <c r="BD120" s="1"/>
      <c r="BE120" s="1"/>
      <c r="BF120" s="1"/>
      <c r="BG120" s="1"/>
      <c r="BH120" s="1"/>
      <c r="BI120" s="1"/>
      <c r="BJ120" s="1"/>
      <c r="BK120" s="1"/>
    </row>
    <row r="121" spans="1:63" ht="16" thickBot="1" x14ac:dyDescent="0.25">
      <c r="A121" s="3">
        <v>121</v>
      </c>
      <c r="B121" s="3" t="s">
        <v>448</v>
      </c>
      <c r="C121" s="3" t="s">
        <v>543</v>
      </c>
      <c r="D121" s="3" t="s">
        <v>160</v>
      </c>
      <c r="E121" s="1"/>
      <c r="F121" s="3">
        <v>2022</v>
      </c>
      <c r="G121" s="1" t="s">
        <v>51</v>
      </c>
      <c r="H121" s="1" t="s">
        <v>91</v>
      </c>
      <c r="I121" s="1"/>
      <c r="J121" s="113">
        <f>Table4[[#This Row],[total_cost_npr]]*(1/'Calculations &amp; Assumptions'!$C$6)</f>
        <v>5802.8637413394927</v>
      </c>
      <c r="K121" s="113">
        <f>Table4[[#This Row],[system_cost_npr_per_kwp]]*(1/'Calculations &amp; Assumptions'!$C$6)</f>
        <v>453.34872979214782</v>
      </c>
      <c r="L121" s="23">
        <f>IF(Table4[[#This Row],[total_cost_inr]]&gt;0, Table4[[#This Row],[total_cost_inr]]*'Calculations &amp; Assumptions'!$C$7,IF(Table4[[#This Row],[total_cost_eur]]&gt;0,Table4[[#This Row],[total_cost_eur]]*'Calculations &amp; Assumptions'!$C$5,0))</f>
        <v>753792.00000000012</v>
      </c>
      <c r="M121" s="77">
        <f>IF(H121="smartmeter_1ph",Table4[[#This Row],[total_cost_npr]],Table4[[#This Row],[total_cost_npr]]/Table4[[#This Row],[pv_kWp]])</f>
        <v>58890.000000000007</v>
      </c>
      <c r="N121" s="1"/>
      <c r="O121" s="3"/>
      <c r="P121" s="1">
        <v>5798.4000000000005</v>
      </c>
      <c r="Q121" s="3">
        <f>Table4[[#This Row],[total_cost_eur]]/Table4[[#This Row],[pv_kWp]]</f>
        <v>453</v>
      </c>
      <c r="R121" s="1"/>
      <c r="S121" s="1"/>
      <c r="T121" s="1">
        <v>12.8</v>
      </c>
      <c r="U121" s="1"/>
      <c r="V121" s="1"/>
      <c r="W121" s="1"/>
      <c r="X121" s="1"/>
      <c r="Y121" s="1"/>
      <c r="Z121" s="1"/>
      <c r="AA121" s="1"/>
      <c r="AB121" s="1">
        <v>12.8</v>
      </c>
      <c r="AC121" s="1"/>
      <c r="AD121" s="1"/>
      <c r="AE121" s="1"/>
      <c r="AF121" s="1"/>
      <c r="AG121" s="1"/>
      <c r="AH121" s="1"/>
      <c r="AI121" s="6"/>
      <c r="AJ121" s="1"/>
      <c r="AK121" s="1"/>
      <c r="AL121" s="1"/>
      <c r="AM121" s="1"/>
      <c r="AN121" s="1"/>
      <c r="AO121" s="1"/>
      <c r="AP121" s="1"/>
      <c r="AQ121" s="85"/>
      <c r="AR121" s="85"/>
      <c r="AS121" s="1"/>
      <c r="AT121" s="1"/>
      <c r="AU121" s="1"/>
      <c r="AV121" s="1"/>
      <c r="AW121" s="1"/>
      <c r="AX121" s="1"/>
      <c r="AY121" s="1"/>
      <c r="AZ121" s="1"/>
      <c r="BA121" s="1"/>
      <c r="BB121" s="1"/>
      <c r="BC121" s="1"/>
      <c r="BD121" s="1"/>
      <c r="BE121" s="1"/>
      <c r="BF121" s="1"/>
      <c r="BG121" s="1"/>
      <c r="BH121" s="1"/>
      <c r="BI121" s="1"/>
      <c r="BJ121" s="1"/>
      <c r="BK121" s="1"/>
    </row>
    <row r="122" spans="1:63" ht="16" thickBot="1" x14ac:dyDescent="0.25">
      <c r="A122" s="3">
        <v>122</v>
      </c>
      <c r="B122" s="3" t="s">
        <v>448</v>
      </c>
      <c r="C122" s="3" t="s">
        <v>543</v>
      </c>
      <c r="D122" s="3" t="s">
        <v>160</v>
      </c>
      <c r="E122" s="1"/>
      <c r="F122" s="3">
        <v>2022</v>
      </c>
      <c r="G122" s="1" t="s">
        <v>51</v>
      </c>
      <c r="H122" s="1" t="s">
        <v>91</v>
      </c>
      <c r="I122" s="1"/>
      <c r="J122" s="113">
        <f>Table4[[#This Row],[total_cost_npr]]*(1/'Calculations &amp; Assumptions'!$C$6)</f>
        <v>22817.551963048496</v>
      </c>
      <c r="K122" s="113">
        <f>Table4[[#This Row],[system_cost_npr_per_kwp]]*(1/'Calculations &amp; Assumptions'!$C$6)</f>
        <v>228.17551963048496</v>
      </c>
      <c r="L122" s="23">
        <f>IF(Table4[[#This Row],[total_cost_inr]]&gt;0, Table4[[#This Row],[total_cost_inr]]*'Calculations &amp; Assumptions'!$C$7,IF(Table4[[#This Row],[total_cost_eur]]&gt;0,Table4[[#This Row],[total_cost_eur]]*'Calculations &amp; Assumptions'!$C$5,0))</f>
        <v>2964000</v>
      </c>
      <c r="M122" s="77">
        <f>IF(H122="smartmeter_1ph",Table4[[#This Row],[total_cost_npr]],Table4[[#This Row],[total_cost_npr]]/Table4[[#This Row],[pv_kWp]])</f>
        <v>29640</v>
      </c>
      <c r="N122" s="1"/>
      <c r="O122" s="3"/>
      <c r="P122" s="1">
        <v>22800</v>
      </c>
      <c r="Q122" s="3">
        <f>Table4[[#This Row],[total_cost_eur]]/Table4[[#This Row],[pv_kWp]]</f>
        <v>228</v>
      </c>
      <c r="R122" s="1"/>
      <c r="S122" s="1"/>
      <c r="T122" s="1">
        <v>100</v>
      </c>
      <c r="U122" s="1"/>
      <c r="V122" s="1"/>
      <c r="W122" s="1"/>
      <c r="X122" s="1"/>
      <c r="Y122" s="1"/>
      <c r="Z122" s="1"/>
      <c r="AA122" s="1"/>
      <c r="AB122" s="1">
        <v>100</v>
      </c>
      <c r="AC122" s="1"/>
      <c r="AD122" s="1"/>
      <c r="AE122" s="1"/>
      <c r="AF122" s="1"/>
      <c r="AG122" s="1"/>
      <c r="AH122" s="1"/>
      <c r="AI122" s="6"/>
      <c r="AJ122" s="1"/>
      <c r="AK122" s="1"/>
      <c r="AL122" s="1"/>
      <c r="AM122" s="1"/>
      <c r="AN122" s="1"/>
      <c r="AO122" s="1"/>
      <c r="AP122" s="1"/>
      <c r="AQ122" s="85"/>
      <c r="AR122" s="85"/>
      <c r="AS122" s="1"/>
      <c r="AT122" s="1"/>
      <c r="AU122" s="1"/>
      <c r="AV122" s="1"/>
      <c r="AW122" s="1"/>
      <c r="AX122" s="1"/>
      <c r="AY122" s="1"/>
      <c r="AZ122" s="1"/>
      <c r="BA122" s="1"/>
      <c r="BB122" s="1"/>
      <c r="BC122" s="1"/>
      <c r="BD122" s="1"/>
      <c r="BE122" s="1"/>
      <c r="BF122" s="1"/>
      <c r="BG122" s="1"/>
      <c r="BH122" s="1"/>
      <c r="BI122" s="1"/>
      <c r="BJ122" s="1"/>
      <c r="BK122" s="1"/>
    </row>
    <row r="123" spans="1:63" ht="17" thickBot="1" x14ac:dyDescent="0.25">
      <c r="A123" s="3">
        <v>123</v>
      </c>
      <c r="B123" s="84" t="s">
        <v>448</v>
      </c>
      <c r="C123" s="3" t="s">
        <v>543</v>
      </c>
      <c r="D123" s="3" t="s">
        <v>160</v>
      </c>
      <c r="E123" s="1"/>
      <c r="F123" s="3">
        <v>2022</v>
      </c>
      <c r="G123" s="1" t="s">
        <v>51</v>
      </c>
      <c r="H123" s="1" t="s">
        <v>116</v>
      </c>
      <c r="I123" s="84"/>
      <c r="J123" s="113">
        <f>Table4[[#This Row],[total_cost_npr]]*(1/'Calculations &amp; Assumptions'!$C$6)</f>
        <v>1200.9237875288682</v>
      </c>
      <c r="K123" s="113">
        <f>Table4[[#This Row],[system_cost_npr_per_kwp]]*(1/'Calculations &amp; Assumptions'!$C$6)</f>
        <v>400.30792917628941</v>
      </c>
      <c r="L123" s="23">
        <f>IF(Table4[[#This Row],[total_cost_inr]]&gt;0, Table4[[#This Row],[total_cost_inr]]*'Calculations &amp; Assumptions'!$C$7,IF(Table4[[#This Row],[total_cost_eur]]&gt;0,Table4[[#This Row],[total_cost_eur]]*'Calculations &amp; Assumptions'!$C$5,0))</f>
        <v>156000</v>
      </c>
      <c r="M123" s="77">
        <f>IF(H123="smartmeter_1ph",Table4[[#This Row],[total_cost_npr]],Table4[[#This Row],[total_cost_npr]]/Table4[[#This Row],[pv_kWp]])</f>
        <v>52000</v>
      </c>
      <c r="N123" s="1"/>
      <c r="O123" s="3"/>
      <c r="P123" s="1">
        <v>1200</v>
      </c>
      <c r="Q123" s="3">
        <f>Table4[[#This Row],[total_cost_eur]]/Table4[[#This Row],[pv_kWp]]</f>
        <v>400</v>
      </c>
      <c r="R123" s="1"/>
      <c r="S123" s="1"/>
      <c r="T123" s="86">
        <v>3</v>
      </c>
      <c r="U123" s="1"/>
      <c r="V123" s="1"/>
      <c r="W123" s="1"/>
      <c r="X123" s="1"/>
      <c r="Y123" s="1"/>
      <c r="Z123" s="1"/>
      <c r="AA123" s="1"/>
      <c r="AB123" s="1"/>
      <c r="AC123" s="1"/>
      <c r="AD123" s="86">
        <v>3</v>
      </c>
      <c r="AE123" s="1"/>
      <c r="AF123" s="1"/>
      <c r="AG123" s="1"/>
      <c r="AH123" s="1"/>
      <c r="AI123" s="6"/>
      <c r="AJ123" s="1"/>
      <c r="AK123" s="1"/>
      <c r="AL123" s="1"/>
      <c r="AM123" s="1"/>
      <c r="AN123" s="1"/>
      <c r="AO123" s="1"/>
      <c r="AP123" s="1"/>
      <c r="AQ123" s="85"/>
      <c r="AR123" s="85"/>
      <c r="AS123" s="1"/>
      <c r="AT123" s="1"/>
      <c r="AU123" s="1"/>
      <c r="AV123" s="1"/>
      <c r="AW123" s="1"/>
      <c r="AX123" s="1"/>
      <c r="AY123" s="1"/>
      <c r="AZ123" s="1"/>
      <c r="BA123" s="1"/>
      <c r="BB123" s="1"/>
      <c r="BC123" s="1"/>
      <c r="BD123" s="1"/>
      <c r="BE123" s="1"/>
      <c r="BF123" s="1"/>
      <c r="BG123" s="1"/>
      <c r="BH123" s="1"/>
      <c r="BI123" s="1"/>
      <c r="BJ123" s="1"/>
      <c r="BK123" s="1"/>
    </row>
    <row r="124" spans="1:63" ht="17" thickBot="1" x14ac:dyDescent="0.25">
      <c r="A124" s="3">
        <v>124</v>
      </c>
      <c r="B124" s="84" t="s">
        <v>448</v>
      </c>
      <c r="C124" s="3" t="s">
        <v>543</v>
      </c>
      <c r="D124" s="3" t="s">
        <v>160</v>
      </c>
      <c r="E124" s="1"/>
      <c r="F124" s="3">
        <v>2022</v>
      </c>
      <c r="G124" s="1" t="s">
        <v>51</v>
      </c>
      <c r="H124" s="1" t="s">
        <v>116</v>
      </c>
      <c r="I124" s="84"/>
      <c r="J124" s="113">
        <f>Table4[[#This Row],[total_cost_npr]]*(1/'Calculations &amp; Assumptions'!$C$6)</f>
        <v>6004.6189376443408</v>
      </c>
      <c r="K124" s="113">
        <f>Table4[[#This Row],[system_cost_npr_per_kwp]]*(1/'Calculations &amp; Assumptions'!$C$6)</f>
        <v>300.23094688221704</v>
      </c>
      <c r="L124" s="23">
        <f>IF(Table4[[#This Row],[total_cost_inr]]&gt;0, Table4[[#This Row],[total_cost_inr]]*'Calculations &amp; Assumptions'!$C$7,IF(Table4[[#This Row],[total_cost_eur]]&gt;0,Table4[[#This Row],[total_cost_eur]]*'Calculations &amp; Assumptions'!$C$5,0))</f>
        <v>780000</v>
      </c>
      <c r="M124" s="77">
        <f>IF(H124="smartmeter_1ph",Table4[[#This Row],[total_cost_npr]],Table4[[#This Row],[total_cost_npr]]/Table4[[#This Row],[pv_kWp]])</f>
        <v>39000</v>
      </c>
      <c r="N124" s="1"/>
      <c r="O124" s="3"/>
      <c r="P124" s="1">
        <v>6000</v>
      </c>
      <c r="Q124" s="3">
        <f>Table4[[#This Row],[total_cost_eur]]/Table4[[#This Row],[pv_kWp]]</f>
        <v>300</v>
      </c>
      <c r="R124" s="1"/>
      <c r="S124" s="1"/>
      <c r="T124" s="86">
        <v>20</v>
      </c>
      <c r="U124" s="1"/>
      <c r="V124" s="1"/>
      <c r="W124" s="1"/>
      <c r="X124" s="1"/>
      <c r="Y124" s="1"/>
      <c r="Z124" s="1"/>
      <c r="AA124" s="1"/>
      <c r="AB124" s="1"/>
      <c r="AC124" s="1"/>
      <c r="AD124" s="86">
        <v>20</v>
      </c>
      <c r="AE124" s="1"/>
      <c r="AF124" s="1"/>
      <c r="AG124" s="1"/>
      <c r="AH124" s="1"/>
      <c r="AI124" s="6"/>
      <c r="AJ124" s="1"/>
      <c r="AK124" s="1"/>
      <c r="AL124" s="1"/>
      <c r="AM124" s="1"/>
      <c r="AN124" s="1"/>
      <c r="AO124" s="1"/>
      <c r="AP124" s="1"/>
      <c r="AQ124" s="85"/>
      <c r="AR124" s="85"/>
      <c r="AS124" s="1"/>
      <c r="AT124" s="1"/>
      <c r="AU124" s="1"/>
      <c r="AV124" s="1"/>
      <c r="AW124" s="1"/>
      <c r="AX124" s="1"/>
      <c r="AY124" s="1"/>
      <c r="AZ124" s="1"/>
      <c r="BA124" s="1"/>
      <c r="BB124" s="1"/>
      <c r="BC124" s="1"/>
      <c r="BD124" s="1"/>
      <c r="BE124" s="1"/>
      <c r="BF124" s="1"/>
      <c r="BG124" s="1"/>
      <c r="BH124" s="1"/>
      <c r="BI124" s="1"/>
      <c r="BJ124" s="1"/>
      <c r="BK124" s="1"/>
    </row>
    <row r="125" spans="1:63" ht="17" thickBot="1" x14ac:dyDescent="0.25">
      <c r="A125" s="3">
        <v>125</v>
      </c>
      <c r="B125" s="84" t="s">
        <v>448</v>
      </c>
      <c r="C125" s="3" t="s">
        <v>543</v>
      </c>
      <c r="D125" s="3" t="s">
        <v>160</v>
      </c>
      <c r="E125" s="1"/>
      <c r="F125" s="3">
        <v>2022</v>
      </c>
      <c r="G125" s="1" t="s">
        <v>51</v>
      </c>
      <c r="H125" s="1" t="s">
        <v>116</v>
      </c>
      <c r="I125" s="84"/>
      <c r="J125" s="113">
        <f>Table4[[#This Row],[total_cost_npr]]*(1/'Calculations &amp; Assumptions'!$C$6)</f>
        <v>9006.9284064665117</v>
      </c>
      <c r="K125" s="113">
        <f>Table4[[#This Row],[system_cost_npr_per_kwp]]*(1/'Calculations &amp; Assumptions'!$C$6)</f>
        <v>250.19245573518089</v>
      </c>
      <c r="L125" s="23">
        <f>IF(Table4[[#This Row],[total_cost_inr]]&gt;0, Table4[[#This Row],[total_cost_inr]]*'Calculations &amp; Assumptions'!$C$7,IF(Table4[[#This Row],[total_cost_eur]]&gt;0,Table4[[#This Row],[total_cost_eur]]*'Calculations &amp; Assumptions'!$C$5,0))</f>
        <v>1170000</v>
      </c>
      <c r="M125" s="77">
        <f>IF(H125="smartmeter_1ph",Table4[[#This Row],[total_cost_npr]],Table4[[#This Row],[total_cost_npr]]/Table4[[#This Row],[pv_kWp]])</f>
        <v>32500</v>
      </c>
      <c r="N125" s="1"/>
      <c r="O125" s="3"/>
      <c r="P125" s="1">
        <v>9000</v>
      </c>
      <c r="Q125" s="3">
        <f>Table4[[#This Row],[total_cost_eur]]/Table4[[#This Row],[pv_kWp]]</f>
        <v>250</v>
      </c>
      <c r="R125" s="1"/>
      <c r="S125" s="1"/>
      <c r="T125" s="86">
        <v>36</v>
      </c>
      <c r="U125" s="1"/>
      <c r="V125" s="1"/>
      <c r="W125" s="1"/>
      <c r="X125" s="1"/>
      <c r="Y125" s="1"/>
      <c r="Z125" s="1"/>
      <c r="AA125" s="1"/>
      <c r="AB125" s="1"/>
      <c r="AC125" s="1"/>
      <c r="AD125" s="86">
        <v>36</v>
      </c>
      <c r="AE125" s="1"/>
      <c r="AF125" s="1"/>
      <c r="AG125" s="1"/>
      <c r="AH125" s="1"/>
      <c r="AI125" s="6"/>
      <c r="AJ125" s="1"/>
      <c r="AK125" s="1"/>
      <c r="AL125" s="1"/>
      <c r="AM125" s="1"/>
      <c r="AN125" s="1"/>
      <c r="AO125" s="1"/>
      <c r="AP125" s="1"/>
      <c r="AQ125" s="85"/>
      <c r="AR125" s="85"/>
      <c r="AS125" s="1"/>
      <c r="AT125" s="1"/>
      <c r="AU125" s="1"/>
      <c r="AV125" s="1"/>
      <c r="AW125" s="1"/>
      <c r="AX125" s="1"/>
      <c r="AY125" s="1"/>
      <c r="AZ125" s="1"/>
      <c r="BA125" s="1"/>
      <c r="BB125" s="1"/>
      <c r="BC125" s="1"/>
      <c r="BD125" s="1"/>
      <c r="BE125" s="1"/>
      <c r="BF125" s="1"/>
      <c r="BG125" s="1"/>
      <c r="BH125" s="1"/>
      <c r="BI125" s="1"/>
      <c r="BJ125" s="1"/>
      <c r="BK125" s="1"/>
    </row>
    <row r="126" spans="1:63" ht="17" thickBot="1" x14ac:dyDescent="0.25">
      <c r="A126" s="3">
        <v>126</v>
      </c>
      <c r="B126" s="3" t="s">
        <v>448</v>
      </c>
      <c r="C126" s="3" t="s">
        <v>543</v>
      </c>
      <c r="D126" s="3" t="s">
        <v>160</v>
      </c>
      <c r="E126" s="1"/>
      <c r="F126" s="3">
        <v>2022</v>
      </c>
      <c r="G126" s="1" t="s">
        <v>51</v>
      </c>
      <c r="H126" s="1" t="s">
        <v>116</v>
      </c>
      <c r="I126" s="1"/>
      <c r="J126" s="113">
        <f>Table4[[#This Row],[total_cost_npr]]*(1/'Calculations &amp; Assumptions'!$C$6)</f>
        <v>16012.317167051577</v>
      </c>
      <c r="K126" s="113">
        <f>Table4[[#This Row],[system_cost_npr_per_kwp]]*(1/'Calculations &amp; Assumptions'!$C$6)</f>
        <v>241.14935492547554</v>
      </c>
      <c r="L126" s="23">
        <f>IF(Table4[[#This Row],[total_cost_inr]]&gt;0, Table4[[#This Row],[total_cost_inr]]*'Calculations &amp; Assumptions'!$C$7,IF(Table4[[#This Row],[total_cost_eur]]&gt;0,Table4[[#This Row],[total_cost_eur]]*'Calculations &amp; Assumptions'!$C$5,0))</f>
        <v>2080000</v>
      </c>
      <c r="M126" s="77">
        <f>IF(H126="smartmeter_1ph",Table4[[#This Row],[total_cost_npr]],Table4[[#This Row],[total_cost_npr]]/Table4[[#This Row],[pv_kWp]])</f>
        <v>31325.301204819276</v>
      </c>
      <c r="N126" s="1"/>
      <c r="O126" s="3"/>
      <c r="P126" s="1">
        <v>16000</v>
      </c>
      <c r="Q126" s="3">
        <f>Table4[[#This Row],[total_cost_eur]]/Table4[[#This Row],[pv_kWp]]</f>
        <v>240.96385542168673</v>
      </c>
      <c r="R126" s="1"/>
      <c r="S126" s="1"/>
      <c r="T126" s="86">
        <v>66.400000000000006</v>
      </c>
      <c r="U126" s="1"/>
      <c r="V126" s="1"/>
      <c r="W126" s="1"/>
      <c r="X126" s="1"/>
      <c r="Y126" s="1"/>
      <c r="Z126" s="1"/>
      <c r="AA126" s="1"/>
      <c r="AB126" s="1"/>
      <c r="AC126" s="1"/>
      <c r="AD126" s="86">
        <v>66.400000000000006</v>
      </c>
      <c r="AE126" s="1"/>
      <c r="AF126" s="1"/>
      <c r="AG126" s="1"/>
      <c r="AH126" s="1"/>
      <c r="AI126" s="6"/>
      <c r="AJ126" s="1"/>
      <c r="AK126" s="1"/>
      <c r="AL126" s="1"/>
      <c r="AM126" s="1"/>
      <c r="AN126" s="1"/>
      <c r="AO126" s="1"/>
      <c r="AP126" s="1"/>
      <c r="AQ126" s="85"/>
      <c r="AR126" s="85"/>
      <c r="AS126" s="1"/>
      <c r="AT126" s="1"/>
      <c r="AU126" s="1"/>
      <c r="AV126" s="1"/>
      <c r="AW126" s="1"/>
      <c r="AX126" s="1"/>
      <c r="AY126" s="1"/>
      <c r="AZ126" s="1"/>
      <c r="BA126" s="1"/>
      <c r="BB126" s="1"/>
      <c r="BC126" s="1"/>
      <c r="BD126" s="1"/>
      <c r="BE126" s="1"/>
      <c r="BF126" s="1"/>
      <c r="BG126" s="1"/>
      <c r="BH126" s="1"/>
      <c r="BI126" s="1"/>
      <c r="BJ126" s="1"/>
      <c r="BK126" s="1"/>
    </row>
    <row r="127" spans="1:63" ht="16" thickBot="1" x14ac:dyDescent="0.25">
      <c r="A127" s="3">
        <v>127</v>
      </c>
      <c r="B127" s="3" t="s">
        <v>449</v>
      </c>
      <c r="C127" s="3" t="s">
        <v>543</v>
      </c>
      <c r="D127" s="3" t="s">
        <v>450</v>
      </c>
      <c r="E127" s="1"/>
      <c r="F127" s="3">
        <v>2022</v>
      </c>
      <c r="G127" s="1" t="s">
        <v>51</v>
      </c>
      <c r="H127" s="1" t="s">
        <v>113</v>
      </c>
      <c r="I127" s="1"/>
      <c r="J127" s="113">
        <f>Table4[[#This Row],[total_cost_npr]]*(1/'Calculations &amp; Assumptions'!$C$6)</f>
        <v>53321.016166281748</v>
      </c>
      <c r="K127" s="113">
        <f>Table4[[#This Row],[system_cost_npr_per_kwp]]*(1/'Calculations &amp; Assumptions'!$C$6)</f>
        <v>185.14241724403385</v>
      </c>
      <c r="L127" s="23">
        <f>IF(Table4[[#This Row],[total_cost_inr]]&gt;0, Table4[[#This Row],[total_cost_inr]]*'Calculations &amp; Assumptions'!$C$7,IF(Table4[[#This Row],[total_cost_eur]]&gt;0,Table4[[#This Row],[total_cost_eur]]*'Calculations &amp; Assumptions'!$C$5,0))</f>
        <v>6926400</v>
      </c>
      <c r="M127" s="77">
        <f>IF(H127="smartmeter_1ph",Table4[[#This Row],[total_cost_npr]],Table4[[#This Row],[total_cost_npr]]/Table4[[#This Row],[pv_kWp]])</f>
        <v>24050</v>
      </c>
      <c r="N127" s="1"/>
      <c r="O127" s="3"/>
      <c r="P127" s="1">
        <v>53280</v>
      </c>
      <c r="Q127" s="3">
        <f>Table4[[#This Row],[total_cost_eur]]/Table4[[#This Row],[pv_kWp]]</f>
        <v>185</v>
      </c>
      <c r="R127" s="1"/>
      <c r="S127" s="1"/>
      <c r="T127" s="1">
        <v>288</v>
      </c>
      <c r="U127" s="1"/>
      <c r="V127" s="1"/>
      <c r="W127" s="1"/>
      <c r="X127" s="1"/>
      <c r="Y127" s="1"/>
      <c r="Z127" s="1"/>
      <c r="AA127" s="1"/>
      <c r="AB127" s="1"/>
      <c r="AC127" s="1"/>
      <c r="AD127" s="1"/>
      <c r="AE127" s="1"/>
      <c r="AF127" s="1"/>
      <c r="AG127" s="1"/>
      <c r="AH127" s="1"/>
      <c r="AI127" s="6"/>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row>
    <row r="128" spans="1:63" ht="16" thickBot="1" x14ac:dyDescent="0.25">
      <c r="A128" s="3">
        <v>128</v>
      </c>
      <c r="B128" s="3" t="s">
        <v>449</v>
      </c>
      <c r="C128" s="3" t="s">
        <v>543</v>
      </c>
      <c r="D128" s="3" t="s">
        <v>450</v>
      </c>
      <c r="E128" s="1"/>
      <c r="F128" s="3">
        <v>2022</v>
      </c>
      <c r="G128" s="1" t="s">
        <v>51</v>
      </c>
      <c r="H128" s="1" t="s">
        <v>113</v>
      </c>
      <c r="I128" s="1"/>
      <c r="J128" s="113">
        <f>Table4[[#This Row],[total_cost_npr]]*(1/'Calculations &amp; Assumptions'!$C$6)</f>
        <v>41215.704387990758</v>
      </c>
      <c r="K128" s="113">
        <f>Table4[[#This Row],[system_cost_npr_per_kwp]]*(1/'Calculations &amp; Assumptions'!$C$6)</f>
        <v>143.11008468052347</v>
      </c>
      <c r="L128" s="23">
        <f>IF(Table4[[#This Row],[total_cost_inr]]&gt;0, Table4[[#This Row],[total_cost_inr]]*'Calculations &amp; Assumptions'!$C$7,IF(Table4[[#This Row],[total_cost_eur]]&gt;0,Table4[[#This Row],[total_cost_eur]]*'Calculations &amp; Assumptions'!$C$5,0))</f>
        <v>5353920</v>
      </c>
      <c r="M128" s="77">
        <f>IF(H128="smartmeter_1ph",Table4[[#This Row],[total_cost_npr]],Table4[[#This Row],[total_cost_npr]]/Table4[[#This Row],[pv_kWp]])</f>
        <v>18590</v>
      </c>
      <c r="N128" s="1"/>
      <c r="O128" s="3"/>
      <c r="P128" s="1">
        <v>41184</v>
      </c>
      <c r="Q128" s="3">
        <f>Table4[[#This Row],[total_cost_eur]]/Table4[[#This Row],[pv_kWp]]</f>
        <v>143</v>
      </c>
      <c r="R128" s="1"/>
      <c r="S128" s="1"/>
      <c r="T128" s="1">
        <v>288</v>
      </c>
      <c r="U128" s="1"/>
      <c r="V128" s="1"/>
      <c r="W128" s="1"/>
      <c r="X128" s="1"/>
      <c r="Y128" s="1"/>
      <c r="Z128" s="1"/>
      <c r="AA128" s="1"/>
      <c r="AB128" s="1"/>
      <c r="AC128" s="1"/>
      <c r="AD128" s="1"/>
      <c r="AE128" s="1"/>
      <c r="AF128" s="1"/>
      <c r="AG128" s="1"/>
      <c r="AH128" s="1"/>
      <c r="AI128" s="6"/>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row>
    <row r="129" spans="1:63" ht="16" thickBot="1" x14ac:dyDescent="0.25">
      <c r="A129" s="3">
        <v>129</v>
      </c>
      <c r="B129" s="3" t="s">
        <v>449</v>
      </c>
      <c r="C129" s="3" t="s">
        <v>543</v>
      </c>
      <c r="D129" s="3" t="s">
        <v>450</v>
      </c>
      <c r="E129" s="1"/>
      <c r="F129" s="3">
        <v>2022</v>
      </c>
      <c r="G129" s="1" t="s">
        <v>51</v>
      </c>
      <c r="H129" s="1" t="s">
        <v>113</v>
      </c>
      <c r="I129" s="1"/>
      <c r="J129" s="113">
        <f>Table4[[#This Row],[total_cost_npr]]*(1/'Calculations &amp; Assumptions'!$C$6)</f>
        <v>37468.82217090069</v>
      </c>
      <c r="K129" s="113">
        <f>Table4[[#This Row],[system_cost_npr_per_kwp]]*(1/'Calculations &amp; Assumptions'!$C$6)</f>
        <v>130.10007698229407</v>
      </c>
      <c r="L129" s="23">
        <f>IF(Table4[[#This Row],[total_cost_inr]]&gt;0, Table4[[#This Row],[total_cost_inr]]*'Calculations &amp; Assumptions'!$C$7,IF(Table4[[#This Row],[total_cost_eur]]&gt;0,Table4[[#This Row],[total_cost_eur]]*'Calculations &amp; Assumptions'!$C$5,0))</f>
        <v>4867200</v>
      </c>
      <c r="M129" s="77">
        <f>IF(H129="smartmeter_1ph",Table4[[#This Row],[total_cost_npr]],Table4[[#This Row],[total_cost_npr]]/Table4[[#This Row],[pv_kWp]])</f>
        <v>16900</v>
      </c>
      <c r="N129" s="1"/>
      <c r="O129" s="3"/>
      <c r="P129" s="1">
        <v>37440</v>
      </c>
      <c r="Q129" s="3">
        <v>130</v>
      </c>
      <c r="R129" s="1"/>
      <c r="S129" s="1"/>
      <c r="T129" s="1">
        <v>288</v>
      </c>
      <c r="U129" s="1"/>
      <c r="V129" s="1"/>
      <c r="W129" s="1"/>
      <c r="X129" s="1"/>
      <c r="Y129" s="1"/>
      <c r="Z129" s="1"/>
      <c r="AA129" s="1"/>
      <c r="AB129" s="1"/>
      <c r="AC129" s="1"/>
      <c r="AD129" s="1"/>
      <c r="AE129" s="1"/>
      <c r="AF129" s="1"/>
      <c r="AG129" s="1"/>
      <c r="AH129" s="1"/>
      <c r="AI129" s="6"/>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row>
    <row r="130" spans="1:63" ht="16" thickBot="1" x14ac:dyDescent="0.25">
      <c r="A130" s="3">
        <v>130</v>
      </c>
      <c r="B130" s="3" t="s">
        <v>449</v>
      </c>
      <c r="C130" s="3" t="s">
        <v>543</v>
      </c>
      <c r="D130" s="3" t="s">
        <v>450</v>
      </c>
      <c r="E130" s="1"/>
      <c r="F130" s="3">
        <v>2022</v>
      </c>
      <c r="G130" s="1" t="s">
        <v>51</v>
      </c>
      <c r="H130" s="1" t="s">
        <v>113</v>
      </c>
      <c r="I130" s="1"/>
      <c r="J130" s="113">
        <f>Table4[[#This Row],[total_cost_npr]]*(1/'Calculations &amp; Assumptions'!$C$6)</f>
        <v>33145.496535796767</v>
      </c>
      <c r="K130" s="113">
        <f>Table4[[#This Row],[system_cost_npr_per_kwp]]*(1/'Calculations &amp; Assumptions'!$C$6)</f>
        <v>115.0885296381832</v>
      </c>
      <c r="L130" s="23">
        <f>IF(Table4[[#This Row],[total_cost_inr]]&gt;0, Table4[[#This Row],[total_cost_inr]]*'Calculations &amp; Assumptions'!$C$7,IF(Table4[[#This Row],[total_cost_eur]]&gt;0,Table4[[#This Row],[total_cost_eur]]*'Calculations &amp; Assumptions'!$C$5,0))</f>
        <v>4305600</v>
      </c>
      <c r="M130" s="77">
        <f>IF(H130="smartmeter_1ph",Table4[[#This Row],[total_cost_npr]],Table4[[#This Row],[total_cost_npr]]/Table4[[#This Row],[pv_kWp]])</f>
        <v>14950</v>
      </c>
      <c r="N130" s="1"/>
      <c r="O130" s="3"/>
      <c r="P130" s="1">
        <v>33120</v>
      </c>
      <c r="Q130" s="3">
        <f>Table4[[#This Row],[total_cost_eur]]/Table4[[#This Row],[pv_kWp]]</f>
        <v>115</v>
      </c>
      <c r="R130" s="1"/>
      <c r="S130" s="1"/>
      <c r="T130" s="1">
        <v>288</v>
      </c>
      <c r="U130" s="1"/>
      <c r="V130" s="1"/>
      <c r="W130" s="1"/>
      <c r="X130" s="1"/>
      <c r="Y130" s="1"/>
      <c r="Z130" s="1"/>
      <c r="AA130" s="1"/>
      <c r="AB130" s="1"/>
      <c r="AC130" s="1"/>
      <c r="AD130" s="1"/>
      <c r="AE130" s="1"/>
      <c r="AF130" s="1"/>
      <c r="AG130" s="1"/>
      <c r="AH130" s="1"/>
      <c r="AI130" s="6"/>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row>
    <row r="131" spans="1:63" ht="16" thickBot="1" x14ac:dyDescent="0.25">
      <c r="A131" s="3">
        <v>131</v>
      </c>
      <c r="B131" s="84" t="s">
        <v>449</v>
      </c>
      <c r="C131" s="3" t="s">
        <v>543</v>
      </c>
      <c r="D131" s="1" t="s">
        <v>450</v>
      </c>
      <c r="E131" s="1"/>
      <c r="F131" s="3">
        <v>2022</v>
      </c>
      <c r="G131" s="1" t="s">
        <v>51</v>
      </c>
      <c r="H131" s="1" t="s">
        <v>113</v>
      </c>
      <c r="I131" s="84"/>
      <c r="J131" s="113">
        <f>Table4[[#This Row],[total_cost_npr]]*(1/'Calculations &amp; Assumptions'!$C$6)</f>
        <v>30551.501154734407</v>
      </c>
      <c r="K131" s="113">
        <f>Table4[[#This Row],[system_cost_npr_per_kwp]]*(1/'Calculations &amp; Assumptions'!$C$6)</f>
        <v>106.08160123171669</v>
      </c>
      <c r="L131" s="23">
        <f>IF(Table4[[#This Row],[total_cost_inr]]&gt;0, Table4[[#This Row],[total_cost_inr]]*'Calculations &amp; Assumptions'!$C$7,IF(Table4[[#This Row],[total_cost_eur]]&gt;0,Table4[[#This Row],[total_cost_eur]]*'Calculations &amp; Assumptions'!$C$5,0))</f>
        <v>3968640</v>
      </c>
      <c r="M131" s="77">
        <f>IF(H131="smartmeter_1ph",Table4[[#This Row],[total_cost_npr]],Table4[[#This Row],[total_cost_npr]]/Table4[[#This Row],[pv_kWp]])</f>
        <v>13780</v>
      </c>
      <c r="N131" s="1"/>
      <c r="O131" s="3"/>
      <c r="P131" s="1">
        <v>30528</v>
      </c>
      <c r="Q131" s="3">
        <f>Table4[[#This Row],[total_cost_eur]]/Table4[[#This Row],[pv_kWp]]</f>
        <v>106</v>
      </c>
      <c r="R131" s="1"/>
      <c r="S131" s="1"/>
      <c r="T131" s="1">
        <v>288</v>
      </c>
      <c r="U131" s="1"/>
      <c r="V131" s="1"/>
      <c r="W131" s="1"/>
      <c r="X131" s="1"/>
      <c r="Y131" s="1"/>
      <c r="Z131" s="1"/>
      <c r="AA131" s="1"/>
      <c r="AB131" s="1"/>
      <c r="AC131" s="1"/>
      <c r="AD131" s="1"/>
      <c r="AE131" s="1"/>
      <c r="AF131" s="1"/>
      <c r="AG131" s="1"/>
      <c r="AH131" s="1"/>
      <c r="AI131" s="6"/>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row>
    <row r="132" spans="1:63" ht="16" thickBot="1" x14ac:dyDescent="0.25">
      <c r="A132" s="3">
        <v>132</v>
      </c>
      <c r="B132" s="84" t="s">
        <v>449</v>
      </c>
      <c r="C132" s="3" t="s">
        <v>543</v>
      </c>
      <c r="D132" s="1" t="s">
        <v>450</v>
      </c>
      <c r="E132" s="1"/>
      <c r="F132" s="3">
        <v>2022</v>
      </c>
      <c r="G132" s="1" t="s">
        <v>51</v>
      </c>
      <c r="H132" s="1" t="s">
        <v>113</v>
      </c>
      <c r="I132" s="84"/>
      <c r="J132" s="113">
        <f>Table4[[#This Row],[total_cost_npr]]*(1/'Calculations &amp; Assumptions'!$C$6)</f>
        <v>40927.482678983833</v>
      </c>
      <c r="K132" s="113">
        <f>Table4[[#This Row],[system_cost_npr_per_kwp]]*(1/'Calculations &amp; Assumptions'!$C$6)</f>
        <v>142.10931485758275</v>
      </c>
      <c r="L132" s="23">
        <f>IF(Table4[[#This Row],[total_cost_inr]]&gt;0, Table4[[#This Row],[total_cost_inr]]*'Calculations &amp; Assumptions'!$C$7,IF(Table4[[#This Row],[total_cost_eur]]&gt;0,Table4[[#This Row],[total_cost_eur]]*'Calculations &amp; Assumptions'!$C$5,0))</f>
        <v>5316480</v>
      </c>
      <c r="M132" s="77">
        <f>IF(H132="smartmeter_1ph",Table4[[#This Row],[total_cost_npr]],Table4[[#This Row],[total_cost_npr]]/Table4[[#This Row],[pv_kWp]])</f>
        <v>18460</v>
      </c>
      <c r="N132" s="1"/>
      <c r="O132" s="3"/>
      <c r="P132" s="1">
        <v>40896</v>
      </c>
      <c r="Q132" s="3">
        <f>Table4[[#This Row],[total_cost_eur]]/Table4[[#This Row],[pv_kWp]]</f>
        <v>142</v>
      </c>
      <c r="R132" s="1"/>
      <c r="S132" s="1"/>
      <c r="T132" s="1">
        <v>288</v>
      </c>
      <c r="U132" s="1"/>
      <c r="V132" s="1"/>
      <c r="W132" s="1"/>
      <c r="X132" s="1"/>
      <c r="Y132" s="1"/>
      <c r="Z132" s="1"/>
      <c r="AA132" s="1"/>
      <c r="AB132" s="1"/>
      <c r="AC132" s="1"/>
      <c r="AD132" s="1"/>
      <c r="AE132" s="1"/>
      <c r="AF132" s="1"/>
      <c r="AG132" s="1"/>
      <c r="AH132" s="1"/>
      <c r="AI132" s="6"/>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row>
    <row r="133" spans="1:63" ht="16" thickBot="1" x14ac:dyDescent="0.25">
      <c r="A133" s="3">
        <v>133</v>
      </c>
      <c r="B133" s="84" t="s">
        <v>449</v>
      </c>
      <c r="C133" s="3" t="s">
        <v>543</v>
      </c>
      <c r="D133" s="1" t="s">
        <v>450</v>
      </c>
      <c r="E133" s="1"/>
      <c r="F133" s="3">
        <v>2022</v>
      </c>
      <c r="G133" s="1" t="s">
        <v>51</v>
      </c>
      <c r="H133" s="1" t="s">
        <v>113</v>
      </c>
      <c r="I133" s="84"/>
      <c r="J133" s="113">
        <f>Table4[[#This Row],[total_cost_npr]]*(1/'Calculations &amp; Assumptions'!$C$6)</f>
        <v>66579.21478060045</v>
      </c>
      <c r="K133" s="113">
        <f>Table4[[#This Row],[system_cost_npr_per_kwp]]*(1/'Calculations &amp; Assumptions'!$C$6)</f>
        <v>231.17782909930713</v>
      </c>
      <c r="L133" s="23">
        <f>IF(Table4[[#This Row],[total_cost_inr]]&gt;0, Table4[[#This Row],[total_cost_inr]]*'Calculations &amp; Assumptions'!$C$7,IF(Table4[[#This Row],[total_cost_eur]]&gt;0,Table4[[#This Row],[total_cost_eur]]*'Calculations &amp; Assumptions'!$C$5,0))</f>
        <v>8648640</v>
      </c>
      <c r="M133" s="77">
        <f>IF(H133="smartmeter_1ph",Table4[[#This Row],[total_cost_npr]],Table4[[#This Row],[total_cost_npr]]/Table4[[#This Row],[pv_kWp]])</f>
        <v>30030</v>
      </c>
      <c r="N133" s="1"/>
      <c r="O133" s="3"/>
      <c r="P133" s="1">
        <v>66528</v>
      </c>
      <c r="Q133" s="3">
        <f>Table4[[#This Row],[total_cost_eur]]/Table4[[#This Row],[pv_kWp]]</f>
        <v>231</v>
      </c>
      <c r="R133" s="1"/>
      <c r="S133" s="1"/>
      <c r="T133" s="1">
        <v>288</v>
      </c>
      <c r="U133" s="1"/>
      <c r="V133" s="1"/>
      <c r="W133" s="1"/>
      <c r="X133" s="1"/>
      <c r="Y133" s="1"/>
      <c r="Z133" s="1"/>
      <c r="AA133" s="1"/>
      <c r="AB133" s="1"/>
      <c r="AC133" s="1"/>
      <c r="AD133" s="1"/>
      <c r="AE133" s="1"/>
      <c r="AF133" s="1"/>
      <c r="AG133" s="1"/>
      <c r="AH133" s="1"/>
      <c r="AI133" s="6"/>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row>
    <row r="134" spans="1:63" ht="16" thickBot="1" x14ac:dyDescent="0.25">
      <c r="A134" s="3">
        <v>134</v>
      </c>
      <c r="B134" s="84" t="s">
        <v>449</v>
      </c>
      <c r="C134" s="3" t="s">
        <v>543</v>
      </c>
      <c r="D134" s="1" t="s">
        <v>450</v>
      </c>
      <c r="E134" s="1"/>
      <c r="F134" s="3">
        <v>2022</v>
      </c>
      <c r="G134" s="1" t="s">
        <v>51</v>
      </c>
      <c r="H134" s="1" t="s">
        <v>113</v>
      </c>
      <c r="I134" s="84"/>
      <c r="J134" s="113">
        <f>Table4[[#This Row],[total_cost_npr]]*(1/'Calculations &amp; Assumptions'!$C$6)</f>
        <v>43809.699769053113</v>
      </c>
      <c r="K134" s="113">
        <f>Table4[[#This Row],[system_cost_npr_per_kwp]]*(1/'Calculations &amp; Assumptions'!$C$6)</f>
        <v>152.11701308698997</v>
      </c>
      <c r="L134" s="23">
        <f>IF(Table4[[#This Row],[total_cost_inr]]&gt;0, Table4[[#This Row],[total_cost_inr]]*'Calculations &amp; Assumptions'!$C$7,IF(Table4[[#This Row],[total_cost_eur]]&gt;0,Table4[[#This Row],[total_cost_eur]]*'Calculations &amp; Assumptions'!$C$5,0))</f>
        <v>5690880</v>
      </c>
      <c r="M134" s="77">
        <f>IF(H134="smartmeter_1ph",Table4[[#This Row],[total_cost_npr]],Table4[[#This Row],[total_cost_npr]]/Table4[[#This Row],[pv_kWp]])</f>
        <v>19760</v>
      </c>
      <c r="N134" s="1"/>
      <c r="O134" s="3"/>
      <c r="P134" s="1">
        <v>43776</v>
      </c>
      <c r="Q134" s="3">
        <f>Table4[[#This Row],[total_cost_eur]]/Table4[[#This Row],[pv_kWp]]</f>
        <v>152</v>
      </c>
      <c r="R134" s="1"/>
      <c r="S134" s="1"/>
      <c r="T134" s="1">
        <v>288</v>
      </c>
      <c r="U134" s="1"/>
      <c r="V134" s="1"/>
      <c r="W134" s="1"/>
      <c r="X134" s="1"/>
      <c r="Y134" s="1"/>
      <c r="Z134" s="1"/>
      <c r="AA134" s="1"/>
      <c r="AB134" s="1"/>
      <c r="AC134" s="1"/>
      <c r="AD134" s="1"/>
      <c r="AE134" s="1"/>
      <c r="AF134" s="1"/>
      <c r="AG134" s="1"/>
      <c r="AH134" s="1"/>
      <c r="AI134" s="6"/>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row>
    <row r="135" spans="1:63" ht="16" thickBot="1" x14ac:dyDescent="0.25">
      <c r="A135" s="3">
        <v>135</v>
      </c>
      <c r="B135" s="3" t="s">
        <v>449</v>
      </c>
      <c r="C135" s="3" t="s">
        <v>543</v>
      </c>
      <c r="D135" s="1" t="s">
        <v>450</v>
      </c>
      <c r="E135" s="1"/>
      <c r="F135" s="1">
        <v>2022</v>
      </c>
      <c r="G135" s="1" t="s">
        <v>51</v>
      </c>
      <c r="H135" s="1" t="s">
        <v>113</v>
      </c>
      <c r="I135" s="1"/>
      <c r="J135" s="113">
        <f>Table4[[#This Row],[total_cost_npr]]*(1/'Calculations &amp; Assumptions'!$C$6)</f>
        <v>51879.907621247112</v>
      </c>
      <c r="K135" s="113">
        <f>Table4[[#This Row],[system_cost_npr_per_kwp]]*(1/'Calculations &amp; Assumptions'!$C$6)</f>
        <v>180.13856812933022</v>
      </c>
      <c r="L135" s="23">
        <f>IF(Table4[[#This Row],[total_cost_inr]]&gt;0, Table4[[#This Row],[total_cost_inr]]*'Calculations &amp; Assumptions'!$C$7,IF(Table4[[#This Row],[total_cost_eur]]&gt;0,Table4[[#This Row],[total_cost_eur]]*'Calculations &amp; Assumptions'!$C$5,0))</f>
        <v>6739200</v>
      </c>
      <c r="M135" s="77">
        <f>IF(H135="smartmeter_1ph",Table4[[#This Row],[total_cost_npr]],Table4[[#This Row],[total_cost_npr]]/Table4[[#This Row],[pv_kWp]])</f>
        <v>23400</v>
      </c>
      <c r="N135" s="1"/>
      <c r="O135" s="3"/>
      <c r="P135" s="1">
        <v>51840</v>
      </c>
      <c r="Q135" s="3">
        <f>Table4[[#This Row],[total_cost_eur]]/Table4[[#This Row],[pv_kWp]]</f>
        <v>180</v>
      </c>
      <c r="R135" s="1"/>
      <c r="S135" s="1"/>
      <c r="T135" s="1">
        <v>288</v>
      </c>
      <c r="U135" s="1"/>
      <c r="V135" s="1"/>
      <c r="W135" s="1"/>
      <c r="X135" s="1"/>
      <c r="Y135" s="1"/>
      <c r="Z135" s="1"/>
      <c r="AA135" s="1"/>
      <c r="AB135" s="1"/>
      <c r="AC135" s="1"/>
      <c r="AD135" s="1"/>
      <c r="AE135" s="1"/>
      <c r="AF135" s="1"/>
      <c r="AG135" s="1"/>
      <c r="AH135" s="1"/>
      <c r="AI135" s="6"/>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row>
    <row r="136" spans="1:63" ht="16" thickBot="1" x14ac:dyDescent="0.25">
      <c r="A136" s="3">
        <v>136</v>
      </c>
      <c r="B136" s="3" t="s">
        <v>449</v>
      </c>
      <c r="C136" s="3" t="s">
        <v>543</v>
      </c>
      <c r="D136" s="1" t="s">
        <v>450</v>
      </c>
      <c r="E136" s="1"/>
      <c r="F136" s="1">
        <v>2022</v>
      </c>
      <c r="G136" s="1" t="s">
        <v>51</v>
      </c>
      <c r="H136" s="1" t="s">
        <v>113</v>
      </c>
      <c r="I136" s="1"/>
      <c r="J136" s="113">
        <f>Table4[[#This Row],[total_cost_npr]]*(1/'Calculations &amp; Assumptions'!$C$6)</f>
        <v>45539.030023094681</v>
      </c>
      <c r="K136" s="113">
        <f>Table4[[#This Row],[system_cost_npr_per_kwp]]*(1/'Calculations &amp; Assumptions'!$C$6)</f>
        <v>158.12163202463432</v>
      </c>
      <c r="L136" s="23">
        <f>IF(Table4[[#This Row],[total_cost_inr]]&gt;0, Table4[[#This Row],[total_cost_inr]]*'Calculations &amp; Assumptions'!$C$7,IF(Table4[[#This Row],[total_cost_eur]]&gt;0,Table4[[#This Row],[total_cost_eur]]*'Calculations &amp; Assumptions'!$C$5,0))</f>
        <v>5915520</v>
      </c>
      <c r="M136" s="77">
        <f>IF(H136="smartmeter_1ph",Table4[[#This Row],[total_cost_npr]],Table4[[#This Row],[total_cost_npr]]/Table4[[#This Row],[pv_kWp]])</f>
        <v>20540</v>
      </c>
      <c r="N136" s="1"/>
      <c r="O136" s="3"/>
      <c r="P136" s="1">
        <v>45504</v>
      </c>
      <c r="Q136" s="3">
        <f>Table4[[#This Row],[total_cost_eur]]/Table4[[#This Row],[pv_kWp]]</f>
        <v>158</v>
      </c>
      <c r="R136" s="1"/>
      <c r="S136" s="1"/>
      <c r="T136" s="1">
        <v>288</v>
      </c>
      <c r="U136" s="1"/>
      <c r="V136" s="1"/>
      <c r="W136" s="1"/>
      <c r="X136" s="1"/>
      <c r="Y136" s="1"/>
      <c r="Z136" s="1"/>
      <c r="AA136" s="1"/>
      <c r="AB136" s="1"/>
      <c r="AC136" s="1"/>
      <c r="AD136" s="1"/>
      <c r="AE136" s="1"/>
      <c r="AF136" s="1"/>
      <c r="AG136" s="1"/>
      <c r="AH136" s="1"/>
      <c r="AI136" s="6"/>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row>
    <row r="137" spans="1:63" ht="16" thickBot="1" x14ac:dyDescent="0.25">
      <c r="A137" s="3">
        <v>137</v>
      </c>
      <c r="B137" s="3" t="s">
        <v>449</v>
      </c>
      <c r="C137" s="3" t="s">
        <v>543</v>
      </c>
      <c r="D137" s="1" t="s">
        <v>450</v>
      </c>
      <c r="E137" s="1"/>
      <c r="F137" s="1">
        <v>2022</v>
      </c>
      <c r="G137" s="1" t="s">
        <v>51</v>
      </c>
      <c r="H137" s="1" t="s">
        <v>113</v>
      </c>
      <c r="I137" s="1"/>
      <c r="J137" s="113">
        <f>Table4[[#This Row],[total_cost_npr]]*(1/'Calculations &amp; Assumptions'!$C$6)</f>
        <v>45827.251732101613</v>
      </c>
      <c r="K137" s="113">
        <f>Table4[[#This Row],[system_cost_npr_per_kwp]]*(1/'Calculations &amp; Assumptions'!$C$6)</f>
        <v>159.12240184757505</v>
      </c>
      <c r="L137" s="23">
        <f>IF(Table4[[#This Row],[total_cost_inr]]&gt;0, Table4[[#This Row],[total_cost_inr]]*'Calculations &amp; Assumptions'!$C$7,IF(Table4[[#This Row],[total_cost_eur]]&gt;0,Table4[[#This Row],[total_cost_eur]]*'Calculations &amp; Assumptions'!$C$5,0))</f>
        <v>5952960</v>
      </c>
      <c r="M137" s="77">
        <f>IF(H137="smartmeter_1ph",Table4[[#This Row],[total_cost_npr]],Table4[[#This Row],[total_cost_npr]]/Table4[[#This Row],[pv_kWp]])</f>
        <v>20670</v>
      </c>
      <c r="N137" s="1"/>
      <c r="O137" s="3"/>
      <c r="P137" s="1">
        <v>45792</v>
      </c>
      <c r="Q137" s="3">
        <f>Table4[[#This Row],[total_cost_eur]]/Table4[[#This Row],[pv_kWp]]</f>
        <v>159</v>
      </c>
      <c r="R137" s="1"/>
      <c r="S137" s="1"/>
      <c r="T137" s="1">
        <v>288</v>
      </c>
      <c r="U137" s="1"/>
      <c r="V137" s="1"/>
      <c r="W137" s="1"/>
      <c r="X137" s="1"/>
      <c r="Y137" s="1"/>
      <c r="Z137" s="1"/>
      <c r="AA137" s="1"/>
      <c r="AB137" s="1"/>
      <c r="AC137" s="1"/>
      <c r="AD137" s="1"/>
      <c r="AE137" s="1"/>
      <c r="AF137" s="1"/>
      <c r="AG137" s="1"/>
      <c r="AH137" s="1"/>
      <c r="AI137" s="6"/>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row>
    <row r="138" spans="1:63" ht="16" thickBot="1" x14ac:dyDescent="0.25">
      <c r="A138" s="3">
        <v>138</v>
      </c>
      <c r="B138" s="3" t="s">
        <v>449</v>
      </c>
      <c r="C138" s="3" t="s">
        <v>543</v>
      </c>
      <c r="D138" s="1" t="s">
        <v>450</v>
      </c>
      <c r="E138" s="1"/>
      <c r="F138" s="1">
        <v>2022</v>
      </c>
      <c r="G138" s="1" t="s">
        <v>51</v>
      </c>
      <c r="H138" s="1" t="s">
        <v>113</v>
      </c>
      <c r="I138" s="1"/>
      <c r="J138" s="113">
        <f>Table4[[#This Row],[total_cost_npr]]*(1/'Calculations &amp; Assumptions'!$C$6)</f>
        <v>40639.260969976902</v>
      </c>
      <c r="K138" s="113">
        <f>Table4[[#This Row],[system_cost_npr_per_kwp]]*(1/'Calculations &amp; Assumptions'!$C$6)</f>
        <v>141.10854503464202</v>
      </c>
      <c r="L138" s="23">
        <f>IF(Table4[[#This Row],[total_cost_inr]]&gt;0, Table4[[#This Row],[total_cost_inr]]*'Calculations &amp; Assumptions'!$C$7,IF(Table4[[#This Row],[total_cost_eur]]&gt;0,Table4[[#This Row],[total_cost_eur]]*'Calculations &amp; Assumptions'!$C$5,0))</f>
        <v>5279040</v>
      </c>
      <c r="M138" s="77">
        <f>IF(H138="smartmeter_1ph",Table4[[#This Row],[total_cost_npr]],Table4[[#This Row],[total_cost_npr]]/Table4[[#This Row],[pv_kWp]])</f>
        <v>18330</v>
      </c>
      <c r="N138" s="1"/>
      <c r="O138" s="3"/>
      <c r="P138" s="1">
        <v>40608</v>
      </c>
      <c r="Q138" s="3">
        <f>Table4[[#This Row],[total_cost_eur]]/Table4[[#This Row],[pv_kWp]]</f>
        <v>141</v>
      </c>
      <c r="R138" s="1"/>
      <c r="S138" s="1"/>
      <c r="T138" s="1">
        <v>288</v>
      </c>
      <c r="U138" s="1"/>
      <c r="V138" s="1"/>
      <c r="W138" s="1"/>
      <c r="X138" s="1"/>
      <c r="Y138" s="1"/>
      <c r="Z138" s="1"/>
      <c r="AA138" s="1"/>
      <c r="AB138" s="1"/>
      <c r="AC138" s="1"/>
      <c r="AD138" s="1"/>
      <c r="AE138" s="1"/>
      <c r="AF138" s="1"/>
      <c r="AG138" s="1"/>
      <c r="AH138" s="1"/>
      <c r="AI138" s="6"/>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row>
    <row r="139" spans="1:63" ht="16" thickBot="1" x14ac:dyDescent="0.25">
      <c r="A139" s="3">
        <v>139</v>
      </c>
      <c r="B139" s="3" t="s">
        <v>449</v>
      </c>
      <c r="C139" s="3" t="s">
        <v>543</v>
      </c>
      <c r="D139" s="1" t="s">
        <v>450</v>
      </c>
      <c r="E139" s="1"/>
      <c r="F139" s="1">
        <v>2022</v>
      </c>
      <c r="G139" s="1" t="s">
        <v>51</v>
      </c>
      <c r="H139" s="1" t="s">
        <v>91</v>
      </c>
      <c r="I139" s="1"/>
      <c r="J139" s="113">
        <f>Table4[[#This Row],[total_cost_npr]]*(1/'Calculations &amp; Assumptions'!$C$6)</f>
        <v>51339.491916859115</v>
      </c>
      <c r="K139" s="113">
        <f>Table4[[#This Row],[system_cost_npr_per_kwp]]*(1/'Calculations &amp; Assumptions'!$C$6)</f>
        <v>285.21939953810619</v>
      </c>
      <c r="L139" s="23">
        <f>IF(Table4[[#This Row],[total_cost_inr]]&gt;0, Table4[[#This Row],[total_cost_inr]]*'Calculations &amp; Assumptions'!$C$7,IF(Table4[[#This Row],[total_cost_eur]]&gt;0,Table4[[#This Row],[total_cost_eur]]*'Calculations &amp; Assumptions'!$C$5,0))</f>
        <v>6669000</v>
      </c>
      <c r="M139" s="77">
        <f>IF(H139="smartmeter_1ph",Table4[[#This Row],[total_cost_npr]],Table4[[#This Row],[total_cost_npr]]/Table4[[#This Row],[pv_kWp]])</f>
        <v>37050</v>
      </c>
      <c r="N139" s="1"/>
      <c r="O139" s="3"/>
      <c r="P139" s="1">
        <v>51300</v>
      </c>
      <c r="Q139" s="3">
        <f>Table4[[#This Row],[total_cost_eur]]/Table4[[#This Row],[pv_kWp]]</f>
        <v>285</v>
      </c>
      <c r="R139" s="1"/>
      <c r="S139" s="1"/>
      <c r="T139" s="1">
        <v>180</v>
      </c>
      <c r="U139" s="1"/>
      <c r="V139" s="1"/>
      <c r="W139" s="1"/>
      <c r="X139" s="1"/>
      <c r="Y139" s="1"/>
      <c r="Z139" s="1"/>
      <c r="AA139" s="1"/>
      <c r="AB139" s="1"/>
      <c r="AC139" s="1"/>
      <c r="AD139" s="1"/>
      <c r="AE139" s="1"/>
      <c r="AF139" s="1"/>
      <c r="AG139" s="1"/>
      <c r="AH139" s="1"/>
      <c r="AI139" s="6"/>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row>
    <row r="140" spans="1:63" ht="16" thickBot="1" x14ac:dyDescent="0.25">
      <c r="A140" s="3">
        <v>140</v>
      </c>
      <c r="B140" s="3" t="s">
        <v>449</v>
      </c>
      <c r="C140" s="3" t="s">
        <v>543</v>
      </c>
      <c r="D140" s="1" t="s">
        <v>450</v>
      </c>
      <c r="E140" s="1"/>
      <c r="F140" s="1">
        <v>2022</v>
      </c>
      <c r="G140" s="1" t="s">
        <v>51</v>
      </c>
      <c r="H140" s="1" t="s">
        <v>91</v>
      </c>
      <c r="I140" s="1"/>
      <c r="J140" s="113">
        <f>Table4[[#This Row],[total_cost_npr]]*(1/'Calculations &amp; Assumptions'!$C$6)</f>
        <v>112586.6050808314</v>
      </c>
      <c r="K140" s="113">
        <f>Table4[[#This Row],[system_cost_npr_per_kwp]]*(1/'Calculations &amp; Assumptions'!$C$6)</f>
        <v>625.48113933795219</v>
      </c>
      <c r="L140" s="23">
        <f>IF(Table4[[#This Row],[total_cost_inr]]&gt;0, Table4[[#This Row],[total_cost_inr]]*'Calculations &amp; Assumptions'!$C$7,IF(Table4[[#This Row],[total_cost_eur]]&gt;0,Table4[[#This Row],[total_cost_eur]]*'Calculations &amp; Assumptions'!$C$5,0))</f>
        <v>14625000</v>
      </c>
      <c r="M140" s="77">
        <f>IF(H140="smartmeter_1ph",Table4[[#This Row],[total_cost_npr]],Table4[[#This Row],[total_cost_npr]]/Table4[[#This Row],[pv_kWp]])</f>
        <v>81250</v>
      </c>
      <c r="N140" s="1"/>
      <c r="O140" s="3"/>
      <c r="P140" s="1">
        <v>112500</v>
      </c>
      <c r="Q140" s="3">
        <f>Table4[[#This Row],[total_cost_eur]]/Table4[[#This Row],[pv_kWp]]</f>
        <v>625</v>
      </c>
      <c r="R140" s="1"/>
      <c r="S140" s="1"/>
      <c r="T140" s="1">
        <v>180</v>
      </c>
      <c r="U140" s="1"/>
      <c r="V140" s="1"/>
      <c r="W140" s="1"/>
      <c r="X140" s="1"/>
      <c r="Y140" s="1"/>
      <c r="Z140" s="1"/>
      <c r="AA140" s="1"/>
      <c r="AB140" s="1"/>
      <c r="AC140" s="1"/>
      <c r="AD140" s="1"/>
      <c r="AE140" s="1"/>
      <c r="AF140" s="1"/>
      <c r="AG140" s="1"/>
      <c r="AH140" s="1"/>
      <c r="AI140" s="6"/>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row>
    <row r="141" spans="1:63" ht="16" thickBot="1" x14ac:dyDescent="0.25">
      <c r="A141" s="3">
        <v>141</v>
      </c>
      <c r="B141" s="3" t="s">
        <v>449</v>
      </c>
      <c r="C141" s="3" t="s">
        <v>543</v>
      </c>
      <c r="D141" s="1" t="s">
        <v>450</v>
      </c>
      <c r="E141" s="1"/>
      <c r="F141" s="1">
        <v>2022</v>
      </c>
      <c r="G141" s="1" t="s">
        <v>51</v>
      </c>
      <c r="H141" s="1" t="s">
        <v>91</v>
      </c>
      <c r="I141" s="1"/>
      <c r="J141" s="113">
        <f>Table4[[#This Row],[total_cost_npr]]*(1/'Calculations &amp; Assumptions'!$C$6)</f>
        <v>76018.47575057736</v>
      </c>
      <c r="K141" s="113">
        <f>Table4[[#This Row],[system_cost_npr_per_kwp]]*(1/'Calculations &amp; Assumptions'!$C$6)</f>
        <v>422.32486528098531</v>
      </c>
      <c r="L141" s="23">
        <f>IF(Table4[[#This Row],[total_cost_inr]]&gt;0, Table4[[#This Row],[total_cost_inr]]*'Calculations &amp; Assumptions'!$C$7,IF(Table4[[#This Row],[total_cost_eur]]&gt;0,Table4[[#This Row],[total_cost_eur]]*'Calculations &amp; Assumptions'!$C$5,0))</f>
        <v>9874800</v>
      </c>
      <c r="M141" s="77">
        <f>IF(H141="smartmeter_1ph",Table4[[#This Row],[total_cost_npr]],Table4[[#This Row],[total_cost_npr]]/Table4[[#This Row],[pv_kWp]])</f>
        <v>54860</v>
      </c>
      <c r="N141" s="1"/>
      <c r="O141" s="3"/>
      <c r="P141" s="1">
        <v>75960</v>
      </c>
      <c r="Q141" s="3">
        <f>Table4[[#This Row],[total_cost_eur]]/Table4[[#This Row],[pv_kWp]]</f>
        <v>422</v>
      </c>
      <c r="R141" s="1"/>
      <c r="S141" s="1"/>
      <c r="T141" s="1">
        <v>180</v>
      </c>
      <c r="U141" s="1"/>
      <c r="V141" s="1"/>
      <c r="W141" s="1"/>
      <c r="X141" s="1"/>
      <c r="Y141" s="1"/>
      <c r="Z141" s="1"/>
      <c r="AA141" s="1"/>
      <c r="AB141" s="1"/>
      <c r="AC141" s="1"/>
      <c r="AD141" s="1"/>
      <c r="AE141" s="1"/>
      <c r="AF141" s="1"/>
      <c r="AG141" s="1"/>
      <c r="AH141" s="1"/>
      <c r="AI141" s="6"/>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row>
    <row r="142" spans="1:63" ht="16" thickBot="1" x14ac:dyDescent="0.25">
      <c r="A142" s="3">
        <v>142</v>
      </c>
      <c r="B142" s="3" t="s">
        <v>449</v>
      </c>
      <c r="C142" s="3" t="s">
        <v>543</v>
      </c>
      <c r="D142" s="1" t="s">
        <v>450</v>
      </c>
      <c r="E142" s="1"/>
      <c r="F142" s="1">
        <v>2022</v>
      </c>
      <c r="G142" s="1" t="s">
        <v>51</v>
      </c>
      <c r="H142" s="1" t="s">
        <v>91</v>
      </c>
      <c r="I142" s="1"/>
      <c r="J142" s="113">
        <f>Table4[[#This Row],[total_cost_npr]]*(1/'Calculations &amp; Assumptions'!$C$6)</f>
        <v>59625.866050808312</v>
      </c>
      <c r="K142" s="113">
        <f>Table4[[#This Row],[system_cost_npr_per_kwp]]*(1/'Calculations &amp; Assumptions'!$C$6)</f>
        <v>331.2548113933795</v>
      </c>
      <c r="L142" s="23">
        <f>IF(Table4[[#This Row],[total_cost_inr]]&gt;0, Table4[[#This Row],[total_cost_inr]]*'Calculations &amp; Assumptions'!$C$7,IF(Table4[[#This Row],[total_cost_eur]]&gt;0,Table4[[#This Row],[total_cost_eur]]*'Calculations &amp; Assumptions'!$C$5,0))</f>
        <v>7745400</v>
      </c>
      <c r="M142" s="77">
        <f>IF(H142="smartmeter_1ph",Table4[[#This Row],[total_cost_npr]],Table4[[#This Row],[total_cost_npr]]/Table4[[#This Row],[pv_kWp]])</f>
        <v>43030</v>
      </c>
      <c r="N142" s="1"/>
      <c r="O142" s="3"/>
      <c r="P142" s="1">
        <v>59580</v>
      </c>
      <c r="Q142" s="3">
        <f>Table4[[#This Row],[total_cost_eur]]/Table4[[#This Row],[pv_kWp]]</f>
        <v>331</v>
      </c>
      <c r="R142" s="1"/>
      <c r="S142" s="1"/>
      <c r="T142" s="1">
        <v>180</v>
      </c>
      <c r="U142" s="1"/>
      <c r="V142" s="1"/>
      <c r="W142" s="1"/>
      <c r="X142" s="1"/>
      <c r="Y142" s="1"/>
      <c r="Z142" s="1"/>
      <c r="AA142" s="1"/>
      <c r="AB142" s="1"/>
      <c r="AC142" s="1"/>
      <c r="AD142" s="1"/>
      <c r="AE142" s="1"/>
      <c r="AF142" s="1"/>
      <c r="AG142" s="1"/>
      <c r="AH142" s="1"/>
      <c r="AI142" s="6"/>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row>
    <row r="143" spans="1:63" ht="16" thickBot="1" x14ac:dyDescent="0.25">
      <c r="A143" s="3">
        <v>143</v>
      </c>
      <c r="B143" s="3" t="s">
        <v>449</v>
      </c>
      <c r="C143" s="3" t="s">
        <v>543</v>
      </c>
      <c r="D143" s="1" t="s">
        <v>450</v>
      </c>
      <c r="E143" s="1"/>
      <c r="F143" s="1">
        <v>2022</v>
      </c>
      <c r="G143" s="1" t="s">
        <v>51</v>
      </c>
      <c r="H143" s="1" t="s">
        <v>91</v>
      </c>
      <c r="I143" s="1"/>
      <c r="J143" s="113">
        <f>Table4[[#This Row],[total_cost_npr]]*(1/'Calculations &amp; Assumptions'!$C$6)</f>
        <v>110605.08083140876</v>
      </c>
      <c r="K143" s="113">
        <f>Table4[[#This Row],[system_cost_npr_per_kwp]]*(1/'Calculations &amp; Assumptions'!$C$6)</f>
        <v>614.47267128560429</v>
      </c>
      <c r="L143" s="23">
        <f>IF(Table4[[#This Row],[total_cost_inr]]&gt;0, Table4[[#This Row],[total_cost_inr]]*'Calculations &amp; Assumptions'!$C$7,IF(Table4[[#This Row],[total_cost_eur]]&gt;0,Table4[[#This Row],[total_cost_eur]]*'Calculations &amp; Assumptions'!$C$5,0))</f>
        <v>14367600</v>
      </c>
      <c r="M143" s="77">
        <f>IF(H143="smartmeter_1ph",Table4[[#This Row],[total_cost_npr]],Table4[[#This Row],[total_cost_npr]]/Table4[[#This Row],[pv_kWp]])</f>
        <v>79820</v>
      </c>
      <c r="N143" s="1"/>
      <c r="O143" s="3"/>
      <c r="P143" s="1">
        <v>110520</v>
      </c>
      <c r="Q143" s="3">
        <f>Table4[[#This Row],[total_cost_eur]]/Table4[[#This Row],[pv_kWp]]</f>
        <v>614</v>
      </c>
      <c r="R143" s="1"/>
      <c r="S143" s="1"/>
      <c r="T143" s="1">
        <v>180</v>
      </c>
      <c r="U143" s="1"/>
      <c r="V143" s="1"/>
      <c r="W143" s="1"/>
      <c r="X143" s="1"/>
      <c r="Y143" s="1"/>
      <c r="Z143" s="1"/>
      <c r="AA143" s="1"/>
      <c r="AB143" s="1"/>
      <c r="AC143" s="1"/>
      <c r="AD143" s="1"/>
      <c r="AE143" s="1"/>
      <c r="AF143" s="1"/>
      <c r="AG143" s="1"/>
      <c r="AH143" s="1"/>
      <c r="AI143" s="6"/>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row>
    <row r="144" spans="1:63" ht="16" thickBot="1" x14ac:dyDescent="0.25">
      <c r="A144" s="3">
        <v>144</v>
      </c>
      <c r="B144" s="3" t="s">
        <v>449</v>
      </c>
      <c r="C144" s="3" t="s">
        <v>543</v>
      </c>
      <c r="D144" s="1" t="s">
        <v>450</v>
      </c>
      <c r="E144" s="1"/>
      <c r="F144" s="1">
        <v>2022</v>
      </c>
      <c r="G144" s="1" t="s">
        <v>51</v>
      </c>
      <c r="H144" s="1" t="s">
        <v>91</v>
      </c>
      <c r="I144" s="1"/>
      <c r="J144" s="113">
        <f>Table4[[#This Row],[total_cost_npr]]*(1/'Calculations &amp; Assumptions'!$C$6)</f>
        <v>67551.963048498845</v>
      </c>
      <c r="K144" s="113">
        <f>Table4[[#This Row],[system_cost_npr_per_kwp]]*(1/'Calculations &amp; Assumptions'!$C$6)</f>
        <v>375.2886836027713</v>
      </c>
      <c r="L144" s="23">
        <f>IF(Table4[[#This Row],[total_cost_inr]]&gt;0, Table4[[#This Row],[total_cost_inr]]*'Calculations &amp; Assumptions'!$C$7,IF(Table4[[#This Row],[total_cost_eur]]&gt;0,Table4[[#This Row],[total_cost_eur]]*'Calculations &amp; Assumptions'!$C$5,0))</f>
        <v>8775000</v>
      </c>
      <c r="M144" s="77">
        <f>IF(H144="smartmeter_1ph",Table4[[#This Row],[total_cost_npr]],Table4[[#This Row],[total_cost_npr]]/Table4[[#This Row],[pv_kWp]])</f>
        <v>48750</v>
      </c>
      <c r="N144" s="1"/>
      <c r="O144" s="3"/>
      <c r="P144" s="1">
        <v>67500</v>
      </c>
      <c r="Q144" s="3">
        <f>Table4[[#This Row],[total_cost_eur]]/Table4[[#This Row],[pv_kWp]]</f>
        <v>375</v>
      </c>
      <c r="R144" s="1"/>
      <c r="S144" s="1"/>
      <c r="T144" s="1">
        <v>180</v>
      </c>
      <c r="U144" s="1"/>
      <c r="V144" s="1"/>
      <c r="W144" s="1"/>
      <c r="X144" s="1"/>
      <c r="Y144" s="1"/>
      <c r="Z144" s="1"/>
      <c r="AA144" s="1"/>
      <c r="AB144" s="1"/>
      <c r="AC144" s="1"/>
      <c r="AD144" s="1"/>
      <c r="AE144" s="1"/>
      <c r="AF144" s="1"/>
      <c r="AG144" s="1"/>
      <c r="AH144" s="1"/>
      <c r="AI144" s="6"/>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row>
    <row r="145" spans="1:63" ht="16" thickBot="1" x14ac:dyDescent="0.25">
      <c r="A145" s="3">
        <v>145</v>
      </c>
      <c r="B145" s="3" t="s">
        <v>449</v>
      </c>
      <c r="C145" s="3" t="s">
        <v>543</v>
      </c>
      <c r="D145" s="1" t="s">
        <v>450</v>
      </c>
      <c r="E145" s="1"/>
      <c r="F145" s="1">
        <v>2022</v>
      </c>
      <c r="G145" s="1" t="s">
        <v>51</v>
      </c>
      <c r="H145" s="1" t="s">
        <v>92</v>
      </c>
      <c r="I145" s="1"/>
      <c r="J145" s="113">
        <f>Table4[[#This Row],[total_cost_npr]]*(1/'Calculations &amp; Assumptions'!$C$6)</f>
        <v>35377.213240954574</v>
      </c>
      <c r="K145" s="113">
        <f>Table4[[#This Row],[system_cost_npr_per_kwp]]*(1/'Calculations &amp; Assumptions'!$C$6)</f>
        <v>707.5442648190915</v>
      </c>
      <c r="L145" s="23">
        <f>IF(Table4[[#This Row],[total_cost_inr]]&gt;0, Table4[[#This Row],[total_cost_inr]]*'Calculations &amp; Assumptions'!$C$7,IF(Table4[[#This Row],[total_cost_eur]]&gt;0,Table4[[#This Row],[total_cost_eur]]*'Calculations &amp; Assumptions'!$C$5,0))</f>
        <v>4595500</v>
      </c>
      <c r="M145" s="77">
        <f>IF(H145="smartmeter_1ph",Table4[[#This Row],[total_cost_npr]],Table4[[#This Row],[total_cost_npr]]/Table4[[#This Row],[pv_kWp]])</f>
        <v>91910</v>
      </c>
      <c r="N145" s="1"/>
      <c r="O145" s="3"/>
      <c r="P145" s="1">
        <v>35350</v>
      </c>
      <c r="Q145" s="3">
        <f>Table4[[#This Row],[total_cost_eur]]/Table4[[#This Row],[pv_kWp]]</f>
        <v>707</v>
      </c>
      <c r="R145" s="1"/>
      <c r="S145" s="1"/>
      <c r="T145" s="1">
        <v>50</v>
      </c>
      <c r="U145" s="1"/>
      <c r="V145" s="1"/>
      <c r="W145" s="1"/>
      <c r="X145" s="1"/>
      <c r="Y145" s="1"/>
      <c r="Z145" s="1"/>
      <c r="AA145" s="1"/>
      <c r="AB145" s="1"/>
      <c r="AC145" s="1"/>
      <c r="AD145" s="1"/>
      <c r="AE145" s="1"/>
      <c r="AF145" s="1"/>
      <c r="AG145" s="1"/>
      <c r="AH145" s="1"/>
      <c r="AI145" s="6"/>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row>
    <row r="146" spans="1:63" ht="16" thickBot="1" x14ac:dyDescent="0.25">
      <c r="A146" s="3">
        <v>146</v>
      </c>
      <c r="B146" s="3" t="s">
        <v>449</v>
      </c>
      <c r="C146" s="3" t="s">
        <v>543</v>
      </c>
      <c r="D146" s="1" t="s">
        <v>450</v>
      </c>
      <c r="E146" s="1"/>
      <c r="F146" s="1">
        <v>2022</v>
      </c>
      <c r="G146" s="1" t="s">
        <v>51</v>
      </c>
      <c r="H146" s="1" t="s">
        <v>92</v>
      </c>
      <c r="I146" s="1"/>
      <c r="J146" s="113">
        <f>Table4[[#This Row],[total_cost_npr]]*(1/'Calculations &amp; Assumptions'!$C$6)</f>
        <v>23367.975365665894</v>
      </c>
      <c r="K146" s="113">
        <f>Table4[[#This Row],[system_cost_npr_per_kwp]]*(1/'Calculations &amp; Assumptions'!$C$6)</f>
        <v>467.35950731331792</v>
      </c>
      <c r="L146" s="23">
        <f>IF(Table4[[#This Row],[total_cost_inr]]&gt;0, Table4[[#This Row],[total_cost_inr]]*'Calculations &amp; Assumptions'!$C$7,IF(Table4[[#This Row],[total_cost_eur]]&gt;0,Table4[[#This Row],[total_cost_eur]]*'Calculations &amp; Assumptions'!$C$5,0))</f>
        <v>3035500</v>
      </c>
      <c r="M146" s="77">
        <f>IF(H146="smartmeter_1ph",Table4[[#This Row],[total_cost_npr]],Table4[[#This Row],[total_cost_npr]]/Table4[[#This Row],[pv_kWp]])</f>
        <v>60710</v>
      </c>
      <c r="N146" s="1"/>
      <c r="O146" s="3"/>
      <c r="P146" s="1">
        <v>23350</v>
      </c>
      <c r="Q146" s="3">
        <f>Table4[[#This Row],[total_cost_eur]]/Table4[[#This Row],[pv_kWp]]</f>
        <v>467</v>
      </c>
      <c r="R146" s="1"/>
      <c r="S146" s="1"/>
      <c r="T146" s="1">
        <v>50</v>
      </c>
      <c r="U146" s="1"/>
      <c r="V146" s="1"/>
      <c r="W146" s="1"/>
      <c r="X146" s="1"/>
      <c r="Y146" s="1"/>
      <c r="Z146" s="1"/>
      <c r="AA146" s="1"/>
      <c r="AB146" s="1"/>
      <c r="AC146" s="1"/>
      <c r="AD146" s="1"/>
      <c r="AE146" s="1"/>
      <c r="AF146" s="1"/>
      <c r="AG146" s="1"/>
      <c r="AH146" s="1"/>
      <c r="AI146" s="6"/>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row>
    <row r="147" spans="1:63" ht="16" thickBot="1" x14ac:dyDescent="0.25">
      <c r="A147" s="3">
        <v>147</v>
      </c>
      <c r="B147" s="3" t="s">
        <v>449</v>
      </c>
      <c r="C147" s="3" t="s">
        <v>543</v>
      </c>
      <c r="D147" s="3" t="s">
        <v>450</v>
      </c>
      <c r="E147" s="1"/>
      <c r="F147" s="3">
        <v>2022</v>
      </c>
      <c r="G147" s="1" t="s">
        <v>51</v>
      </c>
      <c r="H147" s="1" t="s">
        <v>92</v>
      </c>
      <c r="I147" s="1"/>
      <c r="J147" s="113">
        <f>Table4[[#This Row],[total_cost_npr]]*(1/'Calculations &amp; Assumptions'!$C$6)</f>
        <v>46435.719784449575</v>
      </c>
      <c r="K147" s="113">
        <f>Table4[[#This Row],[system_cost_npr_per_kwp]]*(1/'Calculations &amp; Assumptions'!$C$6)</f>
        <v>928.71439568899143</v>
      </c>
      <c r="L147" s="23">
        <f>IF(Table4[[#This Row],[total_cost_inr]]&gt;0, Table4[[#This Row],[total_cost_inr]]*'Calculations &amp; Assumptions'!$C$7,IF(Table4[[#This Row],[total_cost_eur]]&gt;0,Table4[[#This Row],[total_cost_eur]]*'Calculations &amp; Assumptions'!$C$5,0))</f>
        <v>6032000</v>
      </c>
      <c r="M147" s="77">
        <f>IF(H147="smartmeter_1ph",Table4[[#This Row],[total_cost_npr]],Table4[[#This Row],[total_cost_npr]]/Table4[[#This Row],[pv_kWp]])</f>
        <v>120640</v>
      </c>
      <c r="N147" s="1"/>
      <c r="O147" s="3"/>
      <c r="P147" s="1">
        <v>46400</v>
      </c>
      <c r="Q147" s="3">
        <f>Table4[[#This Row],[total_cost_eur]]/Table4[[#This Row],[pv_kWp]]</f>
        <v>928</v>
      </c>
      <c r="R147" s="1"/>
      <c r="S147" s="1"/>
      <c r="T147" s="1">
        <v>50</v>
      </c>
      <c r="U147" s="1"/>
      <c r="V147" s="1"/>
      <c r="W147" s="1"/>
      <c r="X147" s="1"/>
      <c r="Y147" s="1"/>
      <c r="Z147" s="1"/>
      <c r="AA147" s="1"/>
      <c r="AB147" s="1"/>
      <c r="AC147" s="1"/>
      <c r="AD147" s="1"/>
      <c r="AE147" s="1"/>
      <c r="AF147" s="1"/>
      <c r="AG147" s="1"/>
      <c r="AH147" s="1"/>
      <c r="AI147" s="6"/>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row>
    <row r="148" spans="1:63" ht="16" thickBot="1" x14ac:dyDescent="0.25">
      <c r="A148" s="3">
        <v>148</v>
      </c>
      <c r="B148" s="3" t="s">
        <v>449</v>
      </c>
      <c r="C148" s="3" t="s">
        <v>543</v>
      </c>
      <c r="D148" s="3" t="s">
        <v>450</v>
      </c>
      <c r="E148" s="1"/>
      <c r="F148" s="3">
        <v>2022</v>
      </c>
      <c r="G148" s="1" t="s">
        <v>51</v>
      </c>
      <c r="H148" s="1" t="s">
        <v>92</v>
      </c>
      <c r="I148" s="1"/>
      <c r="J148" s="113">
        <f>Table4[[#This Row],[total_cost_npr]]*(1/'Calculations &amp; Assumptions'!$C$6)</f>
        <v>32074.672825250189</v>
      </c>
      <c r="K148" s="113">
        <f>Table4[[#This Row],[system_cost_npr_per_kwp]]*(1/'Calculations &amp; Assumptions'!$C$6)</f>
        <v>641.49345650500379</v>
      </c>
      <c r="L148" s="23">
        <f>IF(Table4[[#This Row],[total_cost_inr]]&gt;0, Table4[[#This Row],[total_cost_inr]]*'Calculations &amp; Assumptions'!$C$7,IF(Table4[[#This Row],[total_cost_eur]]&gt;0,Table4[[#This Row],[total_cost_eur]]*'Calculations &amp; Assumptions'!$C$5,0))</f>
        <v>4166500</v>
      </c>
      <c r="M148" s="77">
        <f>IF(H148="smartmeter_1ph",Table4[[#This Row],[total_cost_npr]],Table4[[#This Row],[total_cost_npr]]/Table4[[#This Row],[pv_kWp]])</f>
        <v>83330</v>
      </c>
      <c r="N148" s="1"/>
      <c r="O148" s="3"/>
      <c r="P148" s="1">
        <v>32050</v>
      </c>
      <c r="Q148" s="3">
        <f>Table4[[#This Row],[total_cost_eur]]/Table4[[#This Row],[pv_kWp]]</f>
        <v>641</v>
      </c>
      <c r="R148" s="1"/>
      <c r="S148" s="1"/>
      <c r="T148" s="1">
        <v>50</v>
      </c>
      <c r="U148" s="1"/>
      <c r="V148" s="1"/>
      <c r="W148" s="1"/>
      <c r="X148" s="1"/>
      <c r="Y148" s="1"/>
      <c r="Z148" s="1"/>
      <c r="AA148" s="1"/>
      <c r="AB148" s="1"/>
      <c r="AC148" s="1"/>
      <c r="AD148" s="1"/>
      <c r="AE148" s="1"/>
      <c r="AF148" s="1"/>
      <c r="AG148" s="1"/>
      <c r="AH148" s="1"/>
      <c r="AI148" s="6"/>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row>
    <row r="149" spans="1:63" ht="30" thickBot="1" x14ac:dyDescent="0.25">
      <c r="A149" s="3">
        <v>149</v>
      </c>
      <c r="B149" s="3" t="s">
        <v>451</v>
      </c>
      <c r="C149" s="3" t="s">
        <v>543</v>
      </c>
      <c r="D149" s="3" t="s">
        <v>155</v>
      </c>
      <c r="E149" s="1"/>
      <c r="F149" s="3">
        <v>2022</v>
      </c>
      <c r="G149" s="1" t="s">
        <v>51</v>
      </c>
      <c r="H149" s="1" t="s">
        <v>447</v>
      </c>
      <c r="I149" s="1"/>
      <c r="J149" s="113">
        <f>Table4[[#This Row],[total_cost_npr]]*(1/'Calculations &amp; Assumptions'!$C$6)</f>
        <v>0</v>
      </c>
      <c r="K149" s="113">
        <f>Table4[[#This Row],[system_cost_npr_per_kwp]]*(1/'Calculations &amp; Assumptions'!$C$6)</f>
        <v>0</v>
      </c>
      <c r="L149" s="23">
        <f>IF(Table4[[#This Row],[total_cost_inr]]&gt;0, Table4[[#This Row],[total_cost_inr]]*'Calculations &amp; Assumptions'!$C$7,IF(Table4[[#This Row],[total_cost_eur]]&gt;0,Table4[[#This Row],[total_cost_eur]]*'Calculations &amp; Assumptions'!$C$5,0))</f>
        <v>0</v>
      </c>
      <c r="M149" s="77">
        <f>IF(H149="smartmeter_1ph",Table4[[#This Row],[total_cost_npr]],Table4[[#This Row],[total_cost_npr]]/Table4[[#This Row],[pv_kWp]])</f>
        <v>0</v>
      </c>
      <c r="N149" s="1"/>
      <c r="O149" s="3"/>
      <c r="P149" s="1"/>
      <c r="Q149" s="3">
        <v>53</v>
      </c>
      <c r="R149" s="1"/>
      <c r="S149" s="1"/>
      <c r="T149" s="1">
        <v>24</v>
      </c>
      <c r="U149" s="1"/>
      <c r="V149" s="1"/>
      <c r="W149" s="1"/>
      <c r="X149" s="1"/>
      <c r="Y149" s="1"/>
      <c r="Z149" s="1"/>
      <c r="AA149" s="1"/>
      <c r="AB149" s="1"/>
      <c r="AC149" s="1"/>
      <c r="AD149" s="1"/>
      <c r="AE149" s="1"/>
      <c r="AF149" s="1"/>
      <c r="AG149" s="1"/>
      <c r="AH149" s="1"/>
      <c r="AI149" s="6"/>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row>
    <row r="150" spans="1:63" ht="30" thickBot="1" x14ac:dyDescent="0.25">
      <c r="A150" s="3">
        <v>150</v>
      </c>
      <c r="B150" s="3" t="s">
        <v>451</v>
      </c>
      <c r="C150" s="3" t="s">
        <v>543</v>
      </c>
      <c r="D150" s="3" t="s">
        <v>155</v>
      </c>
      <c r="E150" s="1"/>
      <c r="F150" s="3">
        <v>2022</v>
      </c>
      <c r="G150" s="1" t="s">
        <v>51</v>
      </c>
      <c r="H150" s="1" t="s">
        <v>447</v>
      </c>
      <c r="I150" s="1"/>
      <c r="J150" s="113">
        <f>Table4[[#This Row],[total_cost_npr]]*(1/'Calculations &amp; Assumptions'!$C$6)</f>
        <v>0</v>
      </c>
      <c r="K150" s="113">
        <f>Table4[[#This Row],[system_cost_npr_per_kwp]]*(1/'Calculations &amp; Assumptions'!$C$6)</f>
        <v>0</v>
      </c>
      <c r="L150" s="23">
        <f>IF(Table4[[#This Row],[total_cost_inr]]&gt;0, Table4[[#This Row],[total_cost_inr]]*'Calculations &amp; Assumptions'!$C$7,IF(Table4[[#This Row],[total_cost_eur]]&gt;0,Table4[[#This Row],[total_cost_eur]]*'Calculations &amp; Assumptions'!$C$5,0))</f>
        <v>0</v>
      </c>
      <c r="M150" s="77">
        <f>IF(H150="smartmeter_1ph",Table4[[#This Row],[total_cost_npr]],Table4[[#This Row],[total_cost_npr]]/Table4[[#This Row],[pv_kWp]])</f>
        <v>0</v>
      </c>
      <c r="N150" s="1"/>
      <c r="O150" s="3"/>
      <c r="P150" s="1"/>
      <c r="Q150" s="3">
        <v>73</v>
      </c>
      <c r="R150" s="1"/>
      <c r="S150" s="1"/>
      <c r="T150" s="1">
        <v>20</v>
      </c>
      <c r="U150" s="1"/>
      <c r="V150" s="1"/>
      <c r="W150" s="1"/>
      <c r="X150" s="1"/>
      <c r="Y150" s="1"/>
      <c r="Z150" s="1"/>
      <c r="AA150" s="1"/>
      <c r="AB150" s="1"/>
      <c r="AC150" s="1"/>
      <c r="AD150" s="1"/>
      <c r="AE150" s="1"/>
      <c r="AF150" s="1"/>
      <c r="AG150" s="1"/>
      <c r="AH150" s="1"/>
      <c r="AI150" s="6"/>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row>
    <row r="151" spans="1:63" ht="30" thickBot="1" x14ac:dyDescent="0.25">
      <c r="A151" s="3">
        <v>151</v>
      </c>
      <c r="B151" s="3" t="s">
        <v>451</v>
      </c>
      <c r="C151" s="3" t="s">
        <v>543</v>
      </c>
      <c r="D151" s="3" t="s">
        <v>155</v>
      </c>
      <c r="E151" s="1"/>
      <c r="F151" s="3">
        <v>2022</v>
      </c>
      <c r="G151" s="1" t="s">
        <v>51</v>
      </c>
      <c r="H151" s="1" t="s">
        <v>447</v>
      </c>
      <c r="I151" s="1"/>
      <c r="J151" s="113">
        <f>Table4[[#This Row],[total_cost_npr]]*(1/'Calculations &amp; Assumptions'!$C$6)</f>
        <v>0</v>
      </c>
      <c r="K151" s="113">
        <f>Table4[[#This Row],[system_cost_npr_per_kwp]]*(1/'Calculations &amp; Assumptions'!$C$6)</f>
        <v>0</v>
      </c>
      <c r="L151" s="23">
        <f>IF(Table4[[#This Row],[total_cost_inr]]&gt;0, Table4[[#This Row],[total_cost_inr]]*'Calculations &amp; Assumptions'!$C$7,IF(Table4[[#This Row],[total_cost_eur]]&gt;0,Table4[[#This Row],[total_cost_eur]]*'Calculations &amp; Assumptions'!$C$5,0))</f>
        <v>0</v>
      </c>
      <c r="M151" s="77">
        <f>IF(H151="smartmeter_1ph",Table4[[#This Row],[total_cost_npr]],Table4[[#This Row],[total_cost_npr]]/Table4[[#This Row],[pv_kWp]])</f>
        <v>0</v>
      </c>
      <c r="N151" s="1"/>
      <c r="O151" s="3"/>
      <c r="P151" s="1"/>
      <c r="Q151" s="3">
        <v>60</v>
      </c>
      <c r="R151" s="1"/>
      <c r="S151" s="1"/>
      <c r="T151" s="1">
        <v>20</v>
      </c>
      <c r="U151" s="1"/>
      <c r="V151" s="1"/>
      <c r="W151" s="1"/>
      <c r="X151" s="1"/>
      <c r="Y151" s="1"/>
      <c r="Z151" s="1"/>
      <c r="AA151" s="1"/>
      <c r="AB151" s="1"/>
      <c r="AC151" s="1"/>
      <c r="AD151" s="1"/>
      <c r="AE151" s="1"/>
      <c r="AF151" s="1"/>
      <c r="AG151" s="1"/>
      <c r="AH151" s="1"/>
      <c r="AI151" s="6"/>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row>
    <row r="152" spans="1:63" ht="30" thickBot="1" x14ac:dyDescent="0.25">
      <c r="A152" s="3">
        <v>152</v>
      </c>
      <c r="B152" s="3" t="s">
        <v>451</v>
      </c>
      <c r="C152" s="3" t="s">
        <v>543</v>
      </c>
      <c r="D152" s="3" t="s">
        <v>155</v>
      </c>
      <c r="E152" s="1"/>
      <c r="F152" s="3">
        <v>2022</v>
      </c>
      <c r="G152" s="1" t="s">
        <v>51</v>
      </c>
      <c r="H152" s="1" t="s">
        <v>447</v>
      </c>
      <c r="I152" s="1"/>
      <c r="J152" s="113">
        <f>Table4[[#This Row],[total_cost_npr]]*(1/'Calculations &amp; Assumptions'!$C$6)</f>
        <v>0</v>
      </c>
      <c r="K152" s="113">
        <f>Table4[[#This Row],[system_cost_npr_per_kwp]]*(1/'Calculations &amp; Assumptions'!$C$6)</f>
        <v>0</v>
      </c>
      <c r="L152" s="23">
        <f>IF(Table4[[#This Row],[total_cost_inr]]&gt;0, Table4[[#This Row],[total_cost_inr]]*'Calculations &amp; Assumptions'!$C$7,IF(Table4[[#This Row],[total_cost_eur]]&gt;0,Table4[[#This Row],[total_cost_eur]]*'Calculations &amp; Assumptions'!$C$5,0))</f>
        <v>0</v>
      </c>
      <c r="M152" s="77">
        <f>IF(H152="smartmeter_1ph",Table4[[#This Row],[total_cost_npr]],Table4[[#This Row],[total_cost_npr]]/Table4[[#This Row],[pv_kWp]])</f>
        <v>0</v>
      </c>
      <c r="N152" s="1"/>
      <c r="O152" s="3"/>
      <c r="P152" s="1"/>
      <c r="Q152" s="3">
        <v>79</v>
      </c>
      <c r="R152" s="1"/>
      <c r="S152" s="1"/>
      <c r="T152" s="1">
        <v>20</v>
      </c>
      <c r="U152" s="1"/>
      <c r="V152" s="1"/>
      <c r="W152" s="1"/>
      <c r="X152" s="1"/>
      <c r="Y152" s="1"/>
      <c r="Z152" s="1"/>
      <c r="AA152" s="1"/>
      <c r="AB152" s="1"/>
      <c r="AC152" s="1"/>
      <c r="AD152" s="1"/>
      <c r="AE152" s="1"/>
      <c r="AF152" s="1"/>
      <c r="AG152" s="1"/>
      <c r="AH152" s="1"/>
      <c r="AI152" s="6"/>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row>
    <row r="153" spans="1:63" ht="30" thickBot="1" x14ac:dyDescent="0.25">
      <c r="A153" s="3">
        <v>153</v>
      </c>
      <c r="B153" s="3" t="s">
        <v>451</v>
      </c>
      <c r="C153" s="3" t="s">
        <v>543</v>
      </c>
      <c r="D153" s="3" t="s">
        <v>155</v>
      </c>
      <c r="E153" s="1"/>
      <c r="F153" s="3">
        <v>2022</v>
      </c>
      <c r="G153" s="1" t="s">
        <v>51</v>
      </c>
      <c r="H153" s="1" t="s">
        <v>447</v>
      </c>
      <c r="I153" s="1"/>
      <c r="J153" s="113">
        <f>Table4[[#This Row],[total_cost_npr]]*(1/'Calculations &amp; Assumptions'!$C$6)</f>
        <v>0</v>
      </c>
      <c r="K153" s="113">
        <f>Table4[[#This Row],[system_cost_npr_per_kwp]]*(1/'Calculations &amp; Assumptions'!$C$6)</f>
        <v>0</v>
      </c>
      <c r="L153" s="23">
        <f>IF(Table4[[#This Row],[total_cost_inr]]&gt;0, Table4[[#This Row],[total_cost_inr]]*'Calculations &amp; Assumptions'!$C$7,IF(Table4[[#This Row],[total_cost_eur]]&gt;0,Table4[[#This Row],[total_cost_eur]]*'Calculations &amp; Assumptions'!$C$5,0))</f>
        <v>0</v>
      </c>
      <c r="M153" s="77">
        <f>IF(H153="smartmeter_1ph",Table4[[#This Row],[total_cost_npr]],Table4[[#This Row],[total_cost_npr]]/Table4[[#This Row],[pv_kWp]])</f>
        <v>0</v>
      </c>
      <c r="N153" s="1"/>
      <c r="O153" s="3"/>
      <c r="P153" s="1"/>
      <c r="Q153" s="3">
        <v>38</v>
      </c>
      <c r="R153" s="1"/>
      <c r="S153" s="1"/>
      <c r="T153" s="1">
        <v>20</v>
      </c>
      <c r="U153" s="1"/>
      <c r="V153" s="1"/>
      <c r="W153" s="1"/>
      <c r="X153" s="1"/>
      <c r="Y153" s="1"/>
      <c r="Z153" s="1"/>
      <c r="AA153" s="1"/>
      <c r="AB153" s="1"/>
      <c r="AC153" s="1"/>
      <c r="AD153" s="1"/>
      <c r="AE153" s="1"/>
      <c r="AF153" s="1"/>
      <c r="AG153" s="1"/>
      <c r="AH153" s="1"/>
      <c r="AI153" s="6"/>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row>
    <row r="154" spans="1:63" ht="30" thickBot="1" x14ac:dyDescent="0.25">
      <c r="A154" s="3">
        <v>154</v>
      </c>
      <c r="B154" s="3" t="s">
        <v>451</v>
      </c>
      <c r="C154" s="3" t="s">
        <v>543</v>
      </c>
      <c r="D154" s="3" t="s">
        <v>155</v>
      </c>
      <c r="E154" s="1"/>
      <c r="F154" s="3">
        <v>2022</v>
      </c>
      <c r="G154" s="1" t="s">
        <v>51</v>
      </c>
      <c r="H154" s="1" t="s">
        <v>447</v>
      </c>
      <c r="I154" s="1"/>
      <c r="J154" s="113">
        <f>Table4[[#This Row],[total_cost_npr]]*(1/'Calculations &amp; Assumptions'!$C$6)</f>
        <v>0</v>
      </c>
      <c r="K154" s="113">
        <f>Table4[[#This Row],[system_cost_npr_per_kwp]]*(1/'Calculations &amp; Assumptions'!$C$6)</f>
        <v>0</v>
      </c>
      <c r="L154" s="23">
        <f>IF(Table4[[#This Row],[total_cost_inr]]&gt;0, Table4[[#This Row],[total_cost_inr]]*'Calculations &amp; Assumptions'!$C$7,IF(Table4[[#This Row],[total_cost_eur]]&gt;0,Table4[[#This Row],[total_cost_eur]]*'Calculations &amp; Assumptions'!$C$5,0))</f>
        <v>0</v>
      </c>
      <c r="M154" s="77">
        <f>IF(H154="smartmeter_1ph",Table4[[#This Row],[total_cost_npr]],Table4[[#This Row],[total_cost_npr]]/Table4[[#This Row],[pv_kWp]])</f>
        <v>0</v>
      </c>
      <c r="N154" s="1"/>
      <c r="O154" s="3"/>
      <c r="P154" s="1"/>
      <c r="Q154" s="3">
        <v>61</v>
      </c>
      <c r="R154" s="1"/>
      <c r="S154" s="1"/>
      <c r="T154" s="1">
        <v>20</v>
      </c>
      <c r="U154" s="1"/>
      <c r="V154" s="1"/>
      <c r="W154" s="1"/>
      <c r="X154" s="1"/>
      <c r="Y154" s="1"/>
      <c r="Z154" s="1"/>
      <c r="AA154" s="1"/>
      <c r="AB154" s="1"/>
      <c r="AC154" s="1"/>
      <c r="AD154" s="1"/>
      <c r="AE154" s="1"/>
      <c r="AF154" s="1"/>
      <c r="AG154" s="1"/>
      <c r="AH154" s="1"/>
      <c r="AI154" s="6"/>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row>
    <row r="155" spans="1:63" ht="30" thickBot="1" x14ac:dyDescent="0.25">
      <c r="A155" s="3">
        <v>155</v>
      </c>
      <c r="B155" s="3" t="s">
        <v>451</v>
      </c>
      <c r="C155" s="3" t="s">
        <v>543</v>
      </c>
      <c r="D155" s="3" t="s">
        <v>155</v>
      </c>
      <c r="E155" s="1"/>
      <c r="F155" s="3">
        <v>2022</v>
      </c>
      <c r="G155" s="1" t="s">
        <v>51</v>
      </c>
      <c r="H155" s="1" t="s">
        <v>447</v>
      </c>
      <c r="I155" s="1"/>
      <c r="J155" s="113">
        <f>Table4[[#This Row],[total_cost_npr]]*(1/'Calculations &amp; Assumptions'!$C$6)</f>
        <v>0</v>
      </c>
      <c r="K155" s="113">
        <f>Table4[[#This Row],[system_cost_npr_per_kwp]]*(1/'Calculations &amp; Assumptions'!$C$6)</f>
        <v>0</v>
      </c>
      <c r="L155" s="23">
        <f>IF(Table4[[#This Row],[total_cost_inr]]&gt;0, Table4[[#This Row],[total_cost_inr]]*'Calculations &amp; Assumptions'!$C$7,IF(Table4[[#This Row],[total_cost_eur]]&gt;0,Table4[[#This Row],[total_cost_eur]]*'Calculations &amp; Assumptions'!$C$5,0))</f>
        <v>0</v>
      </c>
      <c r="M155" s="77">
        <f>IF(H155="smartmeter_1ph",Table4[[#This Row],[total_cost_npr]],Table4[[#This Row],[total_cost_npr]]/Table4[[#This Row],[pv_kWp]])</f>
        <v>0</v>
      </c>
      <c r="N155" s="1"/>
      <c r="O155" s="3"/>
      <c r="P155" s="1"/>
      <c r="Q155" s="3">
        <v>39</v>
      </c>
      <c r="R155" s="1"/>
      <c r="S155" s="1"/>
      <c r="T155" s="1">
        <v>20</v>
      </c>
      <c r="U155" s="1"/>
      <c r="V155" s="1"/>
      <c r="W155" s="1"/>
      <c r="X155" s="1"/>
      <c r="Y155" s="1"/>
      <c r="Z155" s="1"/>
      <c r="AA155" s="1"/>
      <c r="AB155" s="1"/>
      <c r="AC155" s="1"/>
      <c r="AD155" s="1"/>
      <c r="AE155" s="1"/>
      <c r="AF155" s="1"/>
      <c r="AG155" s="1"/>
      <c r="AH155" s="1"/>
      <c r="AI155" s="6"/>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row>
    <row r="156" spans="1:63" ht="30" thickBot="1" x14ac:dyDescent="0.25">
      <c r="A156" s="3">
        <v>156</v>
      </c>
      <c r="B156" s="3" t="s">
        <v>451</v>
      </c>
      <c r="C156" s="3" t="s">
        <v>543</v>
      </c>
      <c r="D156" s="3" t="s">
        <v>155</v>
      </c>
      <c r="E156" s="1"/>
      <c r="F156" s="3">
        <v>2022</v>
      </c>
      <c r="G156" s="1" t="s">
        <v>51</v>
      </c>
      <c r="H156" s="1" t="s">
        <v>447</v>
      </c>
      <c r="I156" s="1"/>
      <c r="J156" s="113">
        <f>Table4[[#This Row],[total_cost_npr]]*(1/'Calculations &amp; Assumptions'!$C$6)</f>
        <v>0</v>
      </c>
      <c r="K156" s="113">
        <f>Table4[[#This Row],[system_cost_npr_per_kwp]]*(1/'Calculations &amp; Assumptions'!$C$6)</f>
        <v>0</v>
      </c>
      <c r="L156" s="23">
        <f>IF(Table4[[#This Row],[total_cost_inr]]&gt;0, Table4[[#This Row],[total_cost_inr]]*'Calculations &amp; Assumptions'!$C$7,IF(Table4[[#This Row],[total_cost_eur]]&gt;0,Table4[[#This Row],[total_cost_eur]]*'Calculations &amp; Assumptions'!$C$5,0))</f>
        <v>0</v>
      </c>
      <c r="M156" s="77">
        <f>IF(H156="smartmeter_1ph",Table4[[#This Row],[total_cost_npr]],Table4[[#This Row],[total_cost_npr]]/Table4[[#This Row],[pv_kWp]])</f>
        <v>0</v>
      </c>
      <c r="N156" s="1"/>
      <c r="O156" s="3"/>
      <c r="P156" s="1"/>
      <c r="Q156" s="3">
        <v>63</v>
      </c>
      <c r="R156" s="1"/>
      <c r="S156" s="1"/>
      <c r="T156" s="1">
        <v>20</v>
      </c>
      <c r="U156" s="1"/>
      <c r="V156" s="1"/>
      <c r="W156" s="1"/>
      <c r="X156" s="1"/>
      <c r="Y156" s="1"/>
      <c r="Z156" s="1"/>
      <c r="AA156" s="1"/>
      <c r="AB156" s="1"/>
      <c r="AC156" s="1"/>
      <c r="AD156" s="1"/>
      <c r="AE156" s="1"/>
      <c r="AF156" s="1"/>
      <c r="AG156" s="1"/>
      <c r="AH156" s="1"/>
      <c r="AI156" s="6"/>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row>
    <row r="157" spans="1:63" ht="30" thickBot="1" x14ac:dyDescent="0.25">
      <c r="A157" s="3">
        <v>157</v>
      </c>
      <c r="B157" s="3" t="s">
        <v>451</v>
      </c>
      <c r="C157" s="3" t="s">
        <v>543</v>
      </c>
      <c r="D157" s="1" t="s">
        <v>155</v>
      </c>
      <c r="E157" s="1"/>
      <c r="F157" s="1">
        <v>2022</v>
      </c>
      <c r="G157" s="1" t="s">
        <v>51</v>
      </c>
      <c r="H157" s="1" t="s">
        <v>447</v>
      </c>
      <c r="I157" s="1"/>
      <c r="J157" s="113">
        <f>Table4[[#This Row],[total_cost_npr]]*(1/'Calculations &amp; Assumptions'!$C$6)</f>
        <v>0</v>
      </c>
      <c r="K157" s="113">
        <f>Table4[[#This Row],[system_cost_npr_per_kwp]]*(1/'Calculations &amp; Assumptions'!$C$6)</f>
        <v>0</v>
      </c>
      <c r="L157" s="23">
        <f>IF(Table4[[#This Row],[total_cost_inr]]&gt;0, Table4[[#This Row],[total_cost_inr]]*'Calculations &amp; Assumptions'!$C$7,IF(Table4[[#This Row],[total_cost_eur]]&gt;0,Table4[[#This Row],[total_cost_eur]]*'Calculations &amp; Assumptions'!$C$5,0))</f>
        <v>0</v>
      </c>
      <c r="M157" s="77">
        <f>IF(H157="smartmeter_1ph",Table4[[#This Row],[total_cost_npr]],Table4[[#This Row],[total_cost_npr]]/Table4[[#This Row],[pv_kWp]])</f>
        <v>0</v>
      </c>
      <c r="N157" s="1"/>
      <c r="O157" s="3"/>
      <c r="P157" s="1"/>
      <c r="Q157" s="3">
        <v>46</v>
      </c>
      <c r="R157" s="1"/>
      <c r="S157" s="1"/>
      <c r="T157" s="1">
        <v>20</v>
      </c>
      <c r="U157" s="1"/>
      <c r="V157" s="1"/>
      <c r="W157" s="1"/>
      <c r="X157" s="1"/>
      <c r="Y157" s="1"/>
      <c r="Z157" s="1"/>
      <c r="AA157" s="1"/>
      <c r="AB157" s="1"/>
      <c r="AC157" s="1"/>
      <c r="AD157" s="1"/>
      <c r="AE157" s="1"/>
      <c r="AF157" s="1"/>
      <c r="AG157" s="1"/>
      <c r="AH157" s="1"/>
      <c r="AI157" s="6"/>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row>
    <row r="158" spans="1:63" ht="30" thickBot="1" x14ac:dyDescent="0.25">
      <c r="A158" s="3">
        <v>158</v>
      </c>
      <c r="B158" s="3" t="s">
        <v>451</v>
      </c>
      <c r="C158" s="3" t="s">
        <v>543</v>
      </c>
      <c r="D158" s="1" t="s">
        <v>452</v>
      </c>
      <c r="E158" s="1"/>
      <c r="F158" s="1">
        <v>2022</v>
      </c>
      <c r="G158" s="1" t="s">
        <v>51</v>
      </c>
      <c r="H158" s="1" t="s">
        <v>447</v>
      </c>
      <c r="I158" s="1"/>
      <c r="J158" s="113">
        <f>Table4[[#This Row],[total_cost_npr]]*(1/'Calculations &amp; Assumptions'!$C$6)</f>
        <v>0</v>
      </c>
      <c r="K158" s="113">
        <f>Table4[[#This Row],[system_cost_npr_per_kwp]]*(1/'Calculations &amp; Assumptions'!$C$6)</f>
        <v>0</v>
      </c>
      <c r="L158" s="23">
        <f>IF(Table4[[#This Row],[total_cost_inr]]&gt;0, Table4[[#This Row],[total_cost_inr]]*'Calculations &amp; Assumptions'!$C$7,IF(Table4[[#This Row],[total_cost_eur]]&gt;0,Table4[[#This Row],[total_cost_eur]]*'Calculations &amp; Assumptions'!$C$5,0))</f>
        <v>0</v>
      </c>
      <c r="M158" s="77">
        <f>IF(H158="smartmeter_1ph",Table4[[#This Row],[total_cost_npr]],Table4[[#This Row],[total_cost_npr]]/Table4[[#This Row],[pv_kWp]])</f>
        <v>0</v>
      </c>
      <c r="N158" s="1"/>
      <c r="O158" s="3"/>
      <c r="P158" s="1"/>
      <c r="Q158" s="3">
        <v>74</v>
      </c>
      <c r="R158" s="1"/>
      <c r="S158" s="1"/>
      <c r="T158" s="1">
        <v>20</v>
      </c>
      <c r="U158" s="1"/>
      <c r="V158" s="1"/>
      <c r="W158" s="1"/>
      <c r="X158" s="1"/>
      <c r="Y158" s="1"/>
      <c r="Z158" s="1"/>
      <c r="AA158" s="1"/>
      <c r="AB158" s="1"/>
      <c r="AC158" s="1"/>
      <c r="AD158" s="1"/>
      <c r="AE158" s="1"/>
      <c r="AF158" s="1"/>
      <c r="AG158" s="1"/>
      <c r="AH158" s="1"/>
      <c r="AI158" s="6"/>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row>
    <row r="159" spans="1:63" ht="30" thickBot="1" x14ac:dyDescent="0.25">
      <c r="A159" s="3">
        <v>159</v>
      </c>
      <c r="B159" s="3" t="s">
        <v>451</v>
      </c>
      <c r="C159" s="3" t="s">
        <v>543</v>
      </c>
      <c r="D159" s="1" t="s">
        <v>452</v>
      </c>
      <c r="E159" s="1"/>
      <c r="F159" s="1">
        <v>2022</v>
      </c>
      <c r="G159" s="1" t="s">
        <v>51</v>
      </c>
      <c r="H159" s="1" t="s">
        <v>447</v>
      </c>
      <c r="I159" s="1"/>
      <c r="J159" s="113">
        <f>Table4[[#This Row],[total_cost_npr]]*(1/'Calculations &amp; Assumptions'!$C$6)</f>
        <v>0</v>
      </c>
      <c r="K159" s="113">
        <f>Table4[[#This Row],[system_cost_npr_per_kwp]]*(1/'Calculations &amp; Assumptions'!$C$6)</f>
        <v>0</v>
      </c>
      <c r="L159" s="23">
        <f>IF(Table4[[#This Row],[total_cost_inr]]&gt;0, Table4[[#This Row],[total_cost_inr]]*'Calculations &amp; Assumptions'!$C$7,IF(Table4[[#This Row],[total_cost_eur]]&gt;0,Table4[[#This Row],[total_cost_eur]]*'Calculations &amp; Assumptions'!$C$5,0))</f>
        <v>0</v>
      </c>
      <c r="M159" s="77">
        <f>IF(H159="smartmeter_1ph",Table4[[#This Row],[total_cost_npr]],Table4[[#This Row],[total_cost_npr]]/Table4[[#This Row],[pv_kWp]])</f>
        <v>0</v>
      </c>
      <c r="N159" s="1"/>
      <c r="O159" s="3"/>
      <c r="P159" s="1"/>
      <c r="Q159" s="3">
        <v>71</v>
      </c>
      <c r="R159" s="1"/>
      <c r="S159" s="1"/>
      <c r="T159" s="1">
        <v>20</v>
      </c>
      <c r="U159" s="1"/>
      <c r="V159" s="1"/>
      <c r="W159" s="1"/>
      <c r="X159" s="1"/>
      <c r="Y159" s="1"/>
      <c r="Z159" s="1"/>
      <c r="AA159" s="1"/>
      <c r="AB159" s="1"/>
      <c r="AC159" s="1"/>
      <c r="AD159" s="1"/>
      <c r="AE159" s="1"/>
      <c r="AF159" s="1"/>
      <c r="AG159" s="1"/>
      <c r="AH159" s="1"/>
      <c r="AI159" s="6"/>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row>
    <row r="160" spans="1:63" ht="30" thickBot="1" x14ac:dyDescent="0.25">
      <c r="A160" s="3">
        <v>160</v>
      </c>
      <c r="B160" s="3" t="s">
        <v>451</v>
      </c>
      <c r="C160" s="3" t="s">
        <v>543</v>
      </c>
      <c r="D160" s="1" t="s">
        <v>155</v>
      </c>
      <c r="E160" s="1"/>
      <c r="F160" s="1">
        <v>2022</v>
      </c>
      <c r="G160" s="1" t="s">
        <v>51</v>
      </c>
      <c r="H160" s="1" t="s">
        <v>446</v>
      </c>
      <c r="I160" s="1"/>
      <c r="J160" s="113">
        <f>Table4[[#This Row],[total_cost_npr]]*(1/'Calculations &amp; Assumptions'!$C$6)</f>
        <v>0</v>
      </c>
      <c r="K160" s="113">
        <f>Table4[[#This Row],[system_cost_npr_per_kwp]]*(1/'Calculations &amp; Assumptions'!$C$6)</f>
        <v>0</v>
      </c>
      <c r="L160" s="23">
        <f>IF(Table4[[#This Row],[total_cost_inr]]&gt;0, Table4[[#This Row],[total_cost_inr]]*'Calculations &amp; Assumptions'!$C$7,IF(Table4[[#This Row],[total_cost_eur]]&gt;0,Table4[[#This Row],[total_cost_eur]]*'Calculations &amp; Assumptions'!$C$5,0))</f>
        <v>0</v>
      </c>
      <c r="M160" s="77">
        <f>IF(H160="smartmeter_1ph",Table4[[#This Row],[total_cost_npr]],Table4[[#This Row],[total_cost_npr]]/Table4[[#This Row],[pv_kWp]])</f>
        <v>0</v>
      </c>
      <c r="N160" s="1"/>
      <c r="O160" s="3"/>
      <c r="P160" s="1"/>
      <c r="Q160" s="3">
        <v>23</v>
      </c>
      <c r="R160" s="1"/>
      <c r="S160" s="1"/>
      <c r="T160" s="1">
        <v>20</v>
      </c>
      <c r="U160" s="1"/>
      <c r="V160" s="1"/>
      <c r="W160" s="1"/>
      <c r="X160" s="1"/>
      <c r="Y160" s="1"/>
      <c r="Z160" s="1"/>
      <c r="AA160" s="1"/>
      <c r="AB160" s="1"/>
      <c r="AC160" s="1"/>
      <c r="AD160" s="1"/>
      <c r="AE160" s="1"/>
      <c r="AF160" s="1"/>
      <c r="AG160" s="1"/>
      <c r="AH160" s="1"/>
      <c r="AI160" s="6"/>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row>
    <row r="161" spans="1:63" ht="30" thickBot="1" x14ac:dyDescent="0.25">
      <c r="A161" s="3">
        <v>161</v>
      </c>
      <c r="B161" s="3" t="s">
        <v>451</v>
      </c>
      <c r="C161" s="3" t="s">
        <v>543</v>
      </c>
      <c r="D161" s="1" t="s">
        <v>155</v>
      </c>
      <c r="E161" s="1"/>
      <c r="F161" s="1">
        <v>2022</v>
      </c>
      <c r="G161" s="1" t="s">
        <v>51</v>
      </c>
      <c r="H161" s="1" t="s">
        <v>446</v>
      </c>
      <c r="I161" s="1"/>
      <c r="J161" s="113">
        <f>Table4[[#This Row],[total_cost_npr]]*(1/'Calculations &amp; Assumptions'!$C$6)</f>
        <v>0</v>
      </c>
      <c r="K161" s="113">
        <f>Table4[[#This Row],[system_cost_npr_per_kwp]]*(1/'Calculations &amp; Assumptions'!$C$6)</f>
        <v>0</v>
      </c>
      <c r="L161" s="23">
        <f>IF(Table4[[#This Row],[total_cost_inr]]&gt;0, Table4[[#This Row],[total_cost_inr]]*'Calculations &amp; Assumptions'!$C$7,IF(Table4[[#This Row],[total_cost_eur]]&gt;0,Table4[[#This Row],[total_cost_eur]]*'Calculations &amp; Assumptions'!$C$5,0))</f>
        <v>0</v>
      </c>
      <c r="M161" s="77">
        <f>IF(H161="smartmeter_1ph",Table4[[#This Row],[total_cost_npr]],Table4[[#This Row],[total_cost_npr]]/Table4[[#This Row],[pv_kWp]])</f>
        <v>0</v>
      </c>
      <c r="N161" s="1"/>
      <c r="O161" s="1"/>
      <c r="P161" s="1"/>
      <c r="Q161" s="3">
        <v>25</v>
      </c>
      <c r="R161" s="1"/>
      <c r="S161" s="1"/>
      <c r="T161" s="1">
        <v>20</v>
      </c>
      <c r="U161" s="1"/>
      <c r="V161" s="1"/>
      <c r="W161" s="1"/>
      <c r="X161" s="1"/>
      <c r="Y161" s="1"/>
      <c r="Z161" s="1"/>
      <c r="AA161" s="1"/>
      <c r="AB161" s="1"/>
      <c r="AC161" s="1"/>
      <c r="AD161" s="1"/>
      <c r="AE161" s="1"/>
      <c r="AF161" s="1"/>
      <c r="AG161" s="1"/>
      <c r="AH161" s="6"/>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row>
    <row r="162" spans="1:63" ht="30" thickBot="1" x14ac:dyDescent="0.25">
      <c r="A162" s="3">
        <v>162</v>
      </c>
      <c r="B162" s="3" t="s">
        <v>451</v>
      </c>
      <c r="C162" s="3" t="s">
        <v>543</v>
      </c>
      <c r="D162" s="1" t="s">
        <v>155</v>
      </c>
      <c r="E162" s="1"/>
      <c r="F162" s="1">
        <v>2022</v>
      </c>
      <c r="G162" s="1" t="s">
        <v>51</v>
      </c>
      <c r="H162" s="1" t="s">
        <v>446</v>
      </c>
      <c r="I162" s="1"/>
      <c r="J162" s="113">
        <f>Table4[[#This Row],[total_cost_npr]]*(1/'Calculations &amp; Assumptions'!$C$6)</f>
        <v>0</v>
      </c>
      <c r="K162" s="113">
        <f>Table4[[#This Row],[system_cost_npr_per_kwp]]*(1/'Calculations &amp; Assumptions'!$C$6)</f>
        <v>0</v>
      </c>
      <c r="L162" s="23">
        <f>IF(Table4[[#This Row],[total_cost_inr]]&gt;0, Table4[[#This Row],[total_cost_inr]]*'Calculations &amp; Assumptions'!$C$7,IF(Table4[[#This Row],[total_cost_eur]]&gt;0,Table4[[#This Row],[total_cost_eur]]*'Calculations &amp; Assumptions'!$C$5,0))</f>
        <v>0</v>
      </c>
      <c r="M162" s="77">
        <f>IF(H162="smartmeter_1ph",Table4[[#This Row],[total_cost_npr]],Table4[[#This Row],[total_cost_npr]]/Table4[[#This Row],[pv_kWp]])</f>
        <v>0</v>
      </c>
      <c r="N162" s="1"/>
      <c r="O162" s="1"/>
      <c r="P162" s="1"/>
      <c r="Q162" s="3">
        <v>15</v>
      </c>
      <c r="R162" s="1"/>
      <c r="S162" s="1"/>
      <c r="T162" s="1">
        <v>20</v>
      </c>
      <c r="U162" s="1"/>
      <c r="V162" s="1"/>
      <c r="W162" s="1"/>
      <c r="X162" s="1"/>
      <c r="Y162" s="1"/>
      <c r="Z162" s="1"/>
      <c r="AA162" s="1"/>
      <c r="AB162" s="1"/>
      <c r="AC162" s="1"/>
      <c r="AD162" s="1"/>
      <c r="AE162" s="1"/>
      <c r="AF162" s="1"/>
      <c r="AG162" s="1"/>
      <c r="AH162" s="6"/>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row>
    <row r="163" spans="1:63" ht="30" thickBot="1" x14ac:dyDescent="0.25">
      <c r="A163" s="3">
        <v>163</v>
      </c>
      <c r="B163" s="3" t="s">
        <v>451</v>
      </c>
      <c r="C163" s="3" t="s">
        <v>543</v>
      </c>
      <c r="D163" s="1" t="s">
        <v>155</v>
      </c>
      <c r="E163" s="1"/>
      <c r="F163" s="1">
        <v>2022</v>
      </c>
      <c r="G163" s="1" t="s">
        <v>51</v>
      </c>
      <c r="H163" s="1" t="s">
        <v>446</v>
      </c>
      <c r="I163" s="1"/>
      <c r="J163" s="113">
        <f>Table4[[#This Row],[total_cost_npr]]*(1/'Calculations &amp; Assumptions'!$C$6)</f>
        <v>0</v>
      </c>
      <c r="K163" s="113">
        <f>Table4[[#This Row],[system_cost_npr_per_kwp]]*(1/'Calculations &amp; Assumptions'!$C$6)</f>
        <v>0</v>
      </c>
      <c r="L163" s="23">
        <f>IF(Table4[[#This Row],[total_cost_inr]]&gt;0, Table4[[#This Row],[total_cost_inr]]*'Calculations &amp; Assumptions'!$C$7,IF(Table4[[#This Row],[total_cost_eur]]&gt;0,Table4[[#This Row],[total_cost_eur]]*'Calculations &amp; Assumptions'!$C$5,0))</f>
        <v>0</v>
      </c>
      <c r="M163" s="77">
        <f>IF(H163="smartmeter_1ph",Table4[[#This Row],[total_cost_npr]],Table4[[#This Row],[total_cost_npr]]/Table4[[#This Row],[pv_kWp]])</f>
        <v>0</v>
      </c>
      <c r="N163" s="1"/>
      <c r="O163" s="1"/>
      <c r="P163" s="1"/>
      <c r="Q163" s="3">
        <v>35</v>
      </c>
      <c r="R163" s="1"/>
      <c r="S163" s="1"/>
      <c r="T163" s="1">
        <v>20</v>
      </c>
      <c r="U163" s="1"/>
      <c r="V163" s="1"/>
      <c r="W163" s="1"/>
      <c r="X163" s="1"/>
      <c r="Y163" s="1"/>
      <c r="Z163" s="1"/>
      <c r="AA163" s="1"/>
      <c r="AB163" s="1"/>
      <c r="AC163" s="1"/>
      <c r="AD163" s="1"/>
      <c r="AE163" s="1"/>
      <c r="AF163" s="1"/>
      <c r="AG163" s="1"/>
      <c r="AH163" s="6"/>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row>
    <row r="164" spans="1:63" ht="30" thickBot="1" x14ac:dyDescent="0.25">
      <c r="A164" s="3">
        <v>164</v>
      </c>
      <c r="B164" s="3" t="s">
        <v>451</v>
      </c>
      <c r="C164" s="3" t="s">
        <v>543</v>
      </c>
      <c r="D164" s="1" t="s">
        <v>155</v>
      </c>
      <c r="E164" s="1"/>
      <c r="F164" s="1">
        <v>2022</v>
      </c>
      <c r="G164" s="1" t="s">
        <v>51</v>
      </c>
      <c r="H164" s="1" t="s">
        <v>446</v>
      </c>
      <c r="I164" s="1"/>
      <c r="J164" s="113">
        <f>Table4[[#This Row],[total_cost_npr]]*(1/'Calculations &amp; Assumptions'!$C$6)</f>
        <v>0</v>
      </c>
      <c r="K164" s="113">
        <f>Table4[[#This Row],[system_cost_npr_per_kwp]]*(1/'Calculations &amp; Assumptions'!$C$6)</f>
        <v>0</v>
      </c>
      <c r="L164" s="23">
        <f>IF(Table4[[#This Row],[total_cost_inr]]&gt;0, Table4[[#This Row],[total_cost_inr]]*'Calculations &amp; Assumptions'!$C$7,IF(Table4[[#This Row],[total_cost_eur]]&gt;0,Table4[[#This Row],[total_cost_eur]]*'Calculations &amp; Assumptions'!$C$5,0))</f>
        <v>0</v>
      </c>
      <c r="M164" s="77">
        <f>IF(H164="smartmeter_1ph",Table4[[#This Row],[total_cost_npr]],Table4[[#This Row],[total_cost_npr]]/Table4[[#This Row],[pv_kWp]])</f>
        <v>0</v>
      </c>
      <c r="N164" s="1"/>
      <c r="O164" s="1"/>
      <c r="P164" s="1"/>
      <c r="Q164" s="3">
        <v>19</v>
      </c>
      <c r="R164" s="1"/>
      <c r="S164" s="1"/>
      <c r="T164" s="1">
        <v>20</v>
      </c>
      <c r="U164" s="1"/>
      <c r="V164" s="1"/>
      <c r="W164" s="1"/>
      <c r="X164" s="1"/>
      <c r="Y164" s="1"/>
      <c r="Z164" s="1"/>
      <c r="AA164" s="1"/>
      <c r="AB164" s="1"/>
      <c r="AC164" s="1"/>
      <c r="AD164" s="1"/>
      <c r="AE164" s="1"/>
      <c r="AF164" s="1"/>
      <c r="AG164" s="1"/>
      <c r="AH164" s="6"/>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row>
    <row r="165" spans="1:63" ht="30" thickBot="1" x14ac:dyDescent="0.25">
      <c r="A165" s="3">
        <v>165</v>
      </c>
      <c r="B165" s="3" t="s">
        <v>451</v>
      </c>
      <c r="C165" s="3" t="s">
        <v>543</v>
      </c>
      <c r="D165" s="1" t="s">
        <v>155</v>
      </c>
      <c r="E165" s="1"/>
      <c r="F165" s="1">
        <v>2022</v>
      </c>
      <c r="G165" s="1" t="s">
        <v>51</v>
      </c>
      <c r="H165" s="1" t="s">
        <v>446</v>
      </c>
      <c r="I165" s="1"/>
      <c r="J165" s="113">
        <f>Table4[[#This Row],[total_cost_npr]]*(1/'Calculations &amp; Assumptions'!$C$6)</f>
        <v>0</v>
      </c>
      <c r="K165" s="113">
        <f>Table4[[#This Row],[system_cost_npr_per_kwp]]*(1/'Calculations &amp; Assumptions'!$C$6)</f>
        <v>0</v>
      </c>
      <c r="L165" s="23">
        <f>IF(Table4[[#This Row],[total_cost_inr]]&gt;0, Table4[[#This Row],[total_cost_inr]]*'Calculations &amp; Assumptions'!$C$7,IF(Table4[[#This Row],[total_cost_eur]]&gt;0,Table4[[#This Row],[total_cost_eur]]*'Calculations &amp; Assumptions'!$C$5,0))</f>
        <v>0</v>
      </c>
      <c r="M165" s="77">
        <f>IF(H165="smartmeter_1ph",Table4[[#This Row],[total_cost_npr]],Table4[[#This Row],[total_cost_npr]]/Table4[[#This Row],[pv_kWp]])</f>
        <v>0</v>
      </c>
      <c r="N165" s="1"/>
      <c r="O165" s="1"/>
      <c r="P165" s="1"/>
      <c r="Q165" s="3">
        <v>30</v>
      </c>
      <c r="R165" s="1"/>
      <c r="S165" s="1"/>
      <c r="T165" s="1">
        <v>20</v>
      </c>
      <c r="U165" s="1"/>
      <c r="V165" s="1"/>
      <c r="W165" s="1"/>
      <c r="X165" s="1"/>
      <c r="Y165" s="1"/>
      <c r="Z165" s="1"/>
      <c r="AA165" s="1"/>
      <c r="AB165" s="1"/>
      <c r="AC165" s="1"/>
      <c r="AD165" s="1"/>
      <c r="AE165" s="1"/>
      <c r="AF165" s="1"/>
      <c r="AG165" s="1"/>
      <c r="AH165" s="6"/>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row>
    <row r="166" spans="1:63" ht="30" thickBot="1" x14ac:dyDescent="0.25">
      <c r="A166" s="3">
        <v>166</v>
      </c>
      <c r="B166" s="3" t="s">
        <v>451</v>
      </c>
      <c r="C166" s="3" t="s">
        <v>543</v>
      </c>
      <c r="D166" s="1" t="s">
        <v>155</v>
      </c>
      <c r="E166" s="1"/>
      <c r="F166" s="1">
        <v>2022</v>
      </c>
      <c r="G166" s="1" t="s">
        <v>51</v>
      </c>
      <c r="H166" s="1" t="s">
        <v>446</v>
      </c>
      <c r="I166" s="1"/>
      <c r="J166" s="113">
        <f>Table4[[#This Row],[total_cost_npr]]*(1/'Calculations &amp; Assumptions'!$C$6)</f>
        <v>0</v>
      </c>
      <c r="K166" s="113">
        <f>Table4[[#This Row],[system_cost_npr_per_kwp]]*(1/'Calculations &amp; Assumptions'!$C$6)</f>
        <v>0</v>
      </c>
      <c r="L166" s="23">
        <f>IF(Table4[[#This Row],[total_cost_inr]]&gt;0, Table4[[#This Row],[total_cost_inr]]*'Calculations &amp; Assumptions'!$C$7,IF(Table4[[#This Row],[total_cost_eur]]&gt;0,Table4[[#This Row],[total_cost_eur]]*'Calculations &amp; Assumptions'!$C$5,0))</f>
        <v>0</v>
      </c>
      <c r="M166" s="77">
        <f>IF(H166="smartmeter_1ph",Table4[[#This Row],[total_cost_npr]],Table4[[#This Row],[total_cost_npr]]/Table4[[#This Row],[pv_kWp]])</f>
        <v>0</v>
      </c>
      <c r="N166" s="1"/>
      <c r="O166" s="1"/>
      <c r="P166" s="1"/>
      <c r="Q166" s="3">
        <v>15</v>
      </c>
      <c r="R166" s="1"/>
      <c r="S166" s="1"/>
      <c r="T166" s="1">
        <v>20</v>
      </c>
      <c r="U166" s="1"/>
      <c r="V166" s="1"/>
      <c r="W166" s="1"/>
      <c r="X166" s="1"/>
      <c r="Y166" s="1"/>
      <c r="Z166" s="1"/>
      <c r="AA166" s="1"/>
      <c r="AB166" s="1"/>
      <c r="AC166" s="1"/>
      <c r="AD166" s="1"/>
      <c r="AE166" s="1"/>
      <c r="AF166" s="1"/>
      <c r="AG166" s="1"/>
      <c r="AH166" s="6"/>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row>
    <row r="167" spans="1:63" ht="30" thickBot="1" x14ac:dyDescent="0.25">
      <c r="A167" s="3">
        <v>167</v>
      </c>
      <c r="B167" s="84" t="s">
        <v>451</v>
      </c>
      <c r="C167" s="3" t="s">
        <v>543</v>
      </c>
      <c r="D167" s="1" t="s">
        <v>83</v>
      </c>
      <c r="E167" s="1"/>
      <c r="F167" s="1">
        <v>2022</v>
      </c>
      <c r="G167" s="1" t="s">
        <v>51</v>
      </c>
      <c r="H167" s="1" t="s">
        <v>446</v>
      </c>
      <c r="I167" s="1"/>
      <c r="J167" s="113">
        <f>Table4[[#This Row],[total_cost_npr]]*(1/'Calculations &amp; Assumptions'!$C$6)</f>
        <v>0</v>
      </c>
      <c r="K167" s="113">
        <f>Table4[[#This Row],[system_cost_npr_per_kwp]]*(1/'Calculations &amp; Assumptions'!$C$6)</f>
        <v>0</v>
      </c>
      <c r="L167" s="23">
        <f>IF(Table4[[#This Row],[total_cost_inr]]&gt;0, Table4[[#This Row],[total_cost_inr]]*'Calculations &amp; Assumptions'!$C$7,IF(Table4[[#This Row],[total_cost_eur]]&gt;0,Table4[[#This Row],[total_cost_eur]]*'Calculations &amp; Assumptions'!$C$5,0))</f>
        <v>0</v>
      </c>
      <c r="M167" s="77">
        <f>IF(H167="smartmeter_1ph",Table4[[#This Row],[total_cost_npr]],Table4[[#This Row],[total_cost_npr]]/Table4[[#This Row],[pv_kWp]])</f>
        <v>0</v>
      </c>
      <c r="N167" s="1"/>
      <c r="O167" s="1"/>
      <c r="P167" s="1"/>
      <c r="Q167" s="3">
        <v>56</v>
      </c>
      <c r="R167" s="1"/>
      <c r="S167" s="1"/>
      <c r="T167" s="1">
        <v>20</v>
      </c>
      <c r="U167" s="1"/>
      <c r="V167" s="1"/>
      <c r="W167" s="1"/>
      <c r="X167" s="1"/>
      <c r="Y167" s="1"/>
      <c r="Z167" s="1"/>
      <c r="AA167" s="1"/>
      <c r="AB167" s="1"/>
      <c r="AC167" s="1"/>
      <c r="AD167" s="1"/>
      <c r="AE167" s="1"/>
      <c r="AF167" s="1"/>
      <c r="AG167" s="1"/>
      <c r="AH167" s="6"/>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row>
    <row r="168" spans="1:63" ht="30" thickBot="1" x14ac:dyDescent="0.25">
      <c r="A168" s="3">
        <v>168</v>
      </c>
      <c r="B168" s="84" t="s">
        <v>451</v>
      </c>
      <c r="C168" s="3" t="s">
        <v>543</v>
      </c>
      <c r="D168" s="1" t="s">
        <v>83</v>
      </c>
      <c r="E168" s="1"/>
      <c r="F168" s="1">
        <v>2022</v>
      </c>
      <c r="G168" s="1" t="s">
        <v>51</v>
      </c>
      <c r="H168" s="1" t="s">
        <v>446</v>
      </c>
      <c r="I168" s="1"/>
      <c r="J168" s="113">
        <f>Table4[[#This Row],[total_cost_npr]]*(1/'Calculations &amp; Assumptions'!$C$6)</f>
        <v>0</v>
      </c>
      <c r="K168" s="113">
        <f>Table4[[#This Row],[system_cost_npr_per_kwp]]*(1/'Calculations &amp; Assumptions'!$C$6)</f>
        <v>0</v>
      </c>
      <c r="L168" s="23">
        <f>IF(Table4[[#This Row],[total_cost_inr]]&gt;0, Table4[[#This Row],[total_cost_inr]]*'Calculations &amp; Assumptions'!$C$7,IF(Table4[[#This Row],[total_cost_eur]]&gt;0,Table4[[#This Row],[total_cost_eur]]*'Calculations &amp; Assumptions'!$C$5,0))</f>
        <v>0</v>
      </c>
      <c r="M168" s="77">
        <f>IF(H168="smartmeter_1ph",Table4[[#This Row],[total_cost_npr]],Table4[[#This Row],[total_cost_npr]]/Table4[[#This Row],[pv_kWp]])</f>
        <v>0</v>
      </c>
      <c r="N168" s="1"/>
      <c r="O168" s="1"/>
      <c r="P168" s="1"/>
      <c r="Q168" s="3">
        <v>62</v>
      </c>
      <c r="R168" s="1"/>
      <c r="S168" s="1"/>
      <c r="T168" s="1">
        <v>20</v>
      </c>
      <c r="U168" s="1"/>
      <c r="V168" s="1"/>
      <c r="W168" s="1"/>
      <c r="X168" s="1"/>
      <c r="Y168" s="1"/>
      <c r="Z168" s="1"/>
      <c r="AA168" s="1"/>
      <c r="AB168" s="1"/>
      <c r="AC168" s="1"/>
      <c r="AD168" s="1"/>
      <c r="AE168" s="1"/>
      <c r="AF168" s="1"/>
      <c r="AG168" s="1"/>
      <c r="AH168" s="6"/>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row>
    <row r="169" spans="1:63" ht="30" thickBot="1" x14ac:dyDescent="0.25">
      <c r="A169" s="3">
        <v>169</v>
      </c>
      <c r="B169" s="84" t="s">
        <v>451</v>
      </c>
      <c r="C169" s="3" t="s">
        <v>543</v>
      </c>
      <c r="D169" s="1" t="s">
        <v>83</v>
      </c>
      <c r="E169" s="1"/>
      <c r="F169" s="1">
        <v>2022</v>
      </c>
      <c r="G169" s="1" t="s">
        <v>51</v>
      </c>
      <c r="H169" s="1" t="s">
        <v>446</v>
      </c>
      <c r="I169" s="1"/>
      <c r="J169" s="113">
        <f>Table4[[#This Row],[total_cost_npr]]*(1/'Calculations &amp; Assumptions'!$C$6)</f>
        <v>0</v>
      </c>
      <c r="K169" s="113">
        <f>Table4[[#This Row],[system_cost_npr_per_kwp]]*(1/'Calculations &amp; Assumptions'!$C$6)</f>
        <v>0</v>
      </c>
      <c r="L169" s="23">
        <f>IF(Table4[[#This Row],[total_cost_inr]]&gt;0, Table4[[#This Row],[total_cost_inr]]*'Calculations &amp; Assumptions'!$C$7,IF(Table4[[#This Row],[total_cost_eur]]&gt;0,Table4[[#This Row],[total_cost_eur]]*'Calculations &amp; Assumptions'!$C$5,0))</f>
        <v>0</v>
      </c>
      <c r="M169" s="77">
        <f>IF(H169="smartmeter_1ph",Table4[[#This Row],[total_cost_npr]],Table4[[#This Row],[total_cost_npr]]/Table4[[#This Row],[pv_kWp]])</f>
        <v>0</v>
      </c>
      <c r="N169" s="1"/>
      <c r="O169" s="1"/>
      <c r="P169" s="1"/>
      <c r="Q169" s="3">
        <v>20</v>
      </c>
      <c r="R169" s="1"/>
      <c r="S169" s="1"/>
      <c r="T169" s="1">
        <v>20</v>
      </c>
      <c r="U169" s="1"/>
      <c r="V169" s="1"/>
      <c r="W169" s="1"/>
      <c r="X169" s="1"/>
      <c r="Y169" s="1"/>
      <c r="Z169" s="1"/>
      <c r="AA169" s="1"/>
      <c r="AB169" s="1"/>
      <c r="AC169" s="1"/>
      <c r="AD169" s="1"/>
      <c r="AE169" s="1"/>
      <c r="AF169" s="1"/>
      <c r="AG169" s="1"/>
      <c r="AH169" s="6"/>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row>
    <row r="170" spans="1:63" ht="30" thickBot="1" x14ac:dyDescent="0.25">
      <c r="A170" s="3">
        <v>170</v>
      </c>
      <c r="B170" s="84" t="s">
        <v>451</v>
      </c>
      <c r="C170" s="3" t="s">
        <v>543</v>
      </c>
      <c r="D170" s="1" t="s">
        <v>83</v>
      </c>
      <c r="E170" s="1"/>
      <c r="F170" s="1">
        <v>2022</v>
      </c>
      <c r="G170" s="1" t="s">
        <v>51</v>
      </c>
      <c r="H170" s="1" t="s">
        <v>446</v>
      </c>
      <c r="I170" s="1"/>
      <c r="J170" s="113">
        <f>Table4[[#This Row],[total_cost_npr]]*(1/'Calculations &amp; Assumptions'!$C$6)</f>
        <v>0</v>
      </c>
      <c r="K170" s="113">
        <f>Table4[[#This Row],[system_cost_npr_per_kwp]]*(1/'Calculations &amp; Assumptions'!$C$6)</f>
        <v>0</v>
      </c>
      <c r="L170" s="23">
        <f>IF(Table4[[#This Row],[total_cost_inr]]&gt;0, Table4[[#This Row],[total_cost_inr]]*'Calculations &amp; Assumptions'!$C$7,IF(Table4[[#This Row],[total_cost_eur]]&gt;0,Table4[[#This Row],[total_cost_eur]]*'Calculations &amp; Assumptions'!$C$5,0))</f>
        <v>0</v>
      </c>
      <c r="M170" s="77">
        <f>IF(H170="smartmeter_1ph",Table4[[#This Row],[total_cost_npr]],Table4[[#This Row],[total_cost_npr]]/Table4[[#This Row],[pv_kWp]])</f>
        <v>0</v>
      </c>
      <c r="N170" s="1"/>
      <c r="O170" s="1"/>
      <c r="P170" s="1"/>
      <c r="Q170" s="3">
        <v>43</v>
      </c>
      <c r="R170" s="1"/>
      <c r="S170" s="1"/>
      <c r="T170" s="1">
        <v>20</v>
      </c>
      <c r="U170" s="1"/>
      <c r="V170" s="1"/>
      <c r="W170" s="1"/>
      <c r="X170" s="1"/>
      <c r="Y170" s="1"/>
      <c r="Z170" s="1"/>
      <c r="AA170" s="1"/>
      <c r="AB170" s="1"/>
      <c r="AC170" s="1"/>
      <c r="AD170" s="1"/>
      <c r="AE170" s="1"/>
      <c r="AF170" s="1"/>
      <c r="AG170" s="1"/>
      <c r="AH170" s="6"/>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row>
    <row r="171" spans="1:63" ht="30" thickBot="1" x14ac:dyDescent="0.25">
      <c r="A171" s="3">
        <v>171</v>
      </c>
      <c r="B171" s="87" t="s">
        <v>451</v>
      </c>
      <c r="C171" s="3" t="s">
        <v>543</v>
      </c>
      <c r="D171" s="1" t="s">
        <v>453</v>
      </c>
      <c r="E171" s="1"/>
      <c r="F171" s="1">
        <v>2022</v>
      </c>
      <c r="G171" s="1" t="s">
        <v>51</v>
      </c>
      <c r="H171" s="1" t="s">
        <v>446</v>
      </c>
      <c r="I171" s="1"/>
      <c r="J171" s="113">
        <f>Table4[[#This Row],[total_cost_npr]]*(1/'Calculations &amp; Assumptions'!$C$6)</f>
        <v>0</v>
      </c>
      <c r="K171" s="113">
        <f>Table4[[#This Row],[system_cost_npr_per_kwp]]*(1/'Calculations &amp; Assumptions'!$C$6)</f>
        <v>0</v>
      </c>
      <c r="L171" s="23">
        <f>IF(Table4[[#This Row],[total_cost_inr]]&gt;0, Table4[[#This Row],[total_cost_inr]]*'Calculations &amp; Assumptions'!$C$7,IF(Table4[[#This Row],[total_cost_eur]]&gt;0,Table4[[#This Row],[total_cost_eur]]*'Calculations &amp; Assumptions'!$C$5,0))</f>
        <v>0</v>
      </c>
      <c r="M171" s="77">
        <f>IF(H171="smartmeter_1ph",Table4[[#This Row],[total_cost_npr]],Table4[[#This Row],[total_cost_npr]]/Table4[[#This Row],[pv_kWp]])</f>
        <v>0</v>
      </c>
      <c r="N171" s="1"/>
      <c r="O171" s="1"/>
      <c r="P171" s="1"/>
      <c r="Q171" s="3">
        <v>25</v>
      </c>
      <c r="R171" s="1"/>
      <c r="S171" s="1"/>
      <c r="T171" s="1">
        <v>20</v>
      </c>
      <c r="U171" s="1"/>
      <c r="V171" s="1"/>
      <c r="W171" s="1"/>
      <c r="X171" s="1"/>
      <c r="Y171" s="1"/>
      <c r="Z171" s="1"/>
      <c r="AA171" s="1"/>
      <c r="AB171" s="1"/>
      <c r="AC171" s="1"/>
      <c r="AD171" s="1"/>
      <c r="AE171" s="1"/>
      <c r="AF171" s="1"/>
      <c r="AG171" s="1"/>
      <c r="AH171" s="6"/>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row>
    <row r="172" spans="1:63" ht="30" thickBot="1" x14ac:dyDescent="0.25">
      <c r="A172" s="3">
        <v>172</v>
      </c>
      <c r="B172" s="87" t="s">
        <v>427</v>
      </c>
      <c r="C172" s="3" t="s">
        <v>543</v>
      </c>
      <c r="D172" s="1" t="s">
        <v>453</v>
      </c>
      <c r="E172" s="1"/>
      <c r="F172" s="1">
        <v>2022</v>
      </c>
      <c r="G172" s="1" t="s">
        <v>51</v>
      </c>
      <c r="H172" s="1" t="s">
        <v>446</v>
      </c>
      <c r="I172" s="1"/>
      <c r="J172" s="113">
        <f>Table4[[#This Row],[total_cost_npr]]*(1/'Calculations &amp; Assumptions'!$C$6)</f>
        <v>0</v>
      </c>
      <c r="K172" s="113">
        <f>Table4[[#This Row],[system_cost_npr_per_kwp]]*(1/'Calculations &amp; Assumptions'!$C$6)</f>
        <v>0</v>
      </c>
      <c r="L172" s="23">
        <f>IF(Table4[[#This Row],[total_cost_inr]]&gt;0, Table4[[#This Row],[total_cost_inr]]*'Calculations &amp; Assumptions'!$C$7,IF(Table4[[#This Row],[total_cost_eur]]&gt;0,Table4[[#This Row],[total_cost_eur]]*'Calculations &amp; Assumptions'!$C$5,0))</f>
        <v>0</v>
      </c>
      <c r="M172" s="77">
        <f>IF(H172="smartmeter_1ph",Table4[[#This Row],[total_cost_npr]],Table4[[#This Row],[total_cost_npr]]/Table4[[#This Row],[pv_kWp]])</f>
        <v>0</v>
      </c>
      <c r="N172" s="1"/>
      <c r="O172" s="1"/>
      <c r="P172" s="1"/>
      <c r="Q172" s="3">
        <v>25</v>
      </c>
      <c r="R172" s="1"/>
      <c r="S172" s="1"/>
      <c r="T172" s="1">
        <v>20</v>
      </c>
      <c r="U172" s="1"/>
      <c r="V172" s="1"/>
      <c r="W172" s="1"/>
      <c r="X172" s="1"/>
      <c r="Y172" s="1"/>
      <c r="Z172" s="1"/>
      <c r="AA172" s="1"/>
      <c r="AB172" s="1"/>
      <c r="AC172" s="1"/>
      <c r="AD172" s="1"/>
      <c r="AE172" s="1"/>
      <c r="AF172" s="1"/>
      <c r="AG172" s="1"/>
      <c r="AH172" s="6"/>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row>
    <row r="173" spans="1:63" ht="30" thickBot="1" x14ac:dyDescent="0.25">
      <c r="A173" s="3">
        <v>173</v>
      </c>
      <c r="B173" s="3" t="s">
        <v>427</v>
      </c>
      <c r="C173" s="3" t="s">
        <v>543</v>
      </c>
      <c r="D173" s="1" t="s">
        <v>452</v>
      </c>
      <c r="E173" s="1"/>
      <c r="F173" s="1">
        <v>2022</v>
      </c>
      <c r="G173" s="1" t="s">
        <v>51</v>
      </c>
      <c r="H173" s="1" t="s">
        <v>81</v>
      </c>
      <c r="I173" s="1" t="s">
        <v>454</v>
      </c>
      <c r="J173" s="113">
        <f>Table4[[#This Row],[total_cost_npr]]*(1/'Calculations &amp; Assumptions'!$C$6)</f>
        <v>971.74749807544254</v>
      </c>
      <c r="K173" s="113">
        <f>Table4[[#This Row],[system_cost_npr_per_kwp]]*(1/'Calculations &amp; Assumptions'!$C$6)</f>
        <v>194.34949961508852</v>
      </c>
      <c r="L173" s="23">
        <f>IF(Table4[[#This Row],[total_cost_inr]]&gt;0, Table4[[#This Row],[total_cost_inr]]*'Calculations &amp; Assumptions'!$C$7,IF(Table4[[#This Row],[total_cost_eur]]&gt;0,Table4[[#This Row],[total_cost_eur]]*'Calculations &amp; Assumptions'!$C$5,0))</f>
        <v>126230</v>
      </c>
      <c r="M173" s="77">
        <f>IF(H173="smartmeter_1ph",Table4[[#This Row],[total_cost_npr]],Table4[[#This Row],[total_cost_npr]]/Table4[[#This Row],[pv_kWp]])</f>
        <v>25246</v>
      </c>
      <c r="N173" s="1"/>
      <c r="O173" s="1"/>
      <c r="P173" s="1">
        <v>971</v>
      </c>
      <c r="Q173" s="3">
        <f>Table4[[#This Row],[total_cost_eur]]/Table4[[#This Row],[pv_kWp]]</f>
        <v>194.2</v>
      </c>
      <c r="R173" s="1"/>
      <c r="S173" s="1"/>
      <c r="T173" s="1">
        <v>5</v>
      </c>
      <c r="U173" s="1"/>
      <c r="V173" s="1"/>
      <c r="W173" s="1"/>
      <c r="X173" s="1"/>
      <c r="Y173" s="1"/>
      <c r="Z173" s="1"/>
      <c r="AA173" s="1"/>
      <c r="AB173" s="1"/>
      <c r="AC173" s="1"/>
      <c r="AD173" s="1"/>
      <c r="AE173" s="1"/>
      <c r="AF173" s="1"/>
      <c r="AG173" s="1"/>
      <c r="AH173" s="6"/>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row>
    <row r="174" spans="1:63" ht="30" thickBot="1" x14ac:dyDescent="0.25">
      <c r="A174" s="3">
        <v>174</v>
      </c>
      <c r="B174" s="1" t="s">
        <v>427</v>
      </c>
      <c r="C174" s="3" t="s">
        <v>543</v>
      </c>
      <c r="D174" s="1" t="s">
        <v>452</v>
      </c>
      <c r="E174" s="1"/>
      <c r="F174" s="1">
        <v>2022</v>
      </c>
      <c r="G174" s="1" t="s">
        <v>51</v>
      </c>
      <c r="H174" s="1" t="s">
        <v>81</v>
      </c>
      <c r="I174" s="1" t="s">
        <v>455</v>
      </c>
      <c r="J174" s="113">
        <f>Table4[[#This Row],[total_cost_npr]]*(1/'Calculations &amp; Assumptions'!$C$6)</f>
        <v>1391.0700538876058</v>
      </c>
      <c r="K174" s="113">
        <f>Table4[[#This Row],[system_cost_npr_per_kwp]]*(1/'Calculations &amp; Assumptions'!$C$6)</f>
        <v>252.92182797956468</v>
      </c>
      <c r="L174" s="23">
        <f>IF(Table4[[#This Row],[total_cost_inr]]&gt;0, Table4[[#This Row],[total_cost_inr]]*'Calculations &amp; Assumptions'!$C$7,IF(Table4[[#This Row],[total_cost_eur]]&gt;0,Table4[[#This Row],[total_cost_eur]]*'Calculations &amp; Assumptions'!$C$5,0))</f>
        <v>180700</v>
      </c>
      <c r="M174" s="77">
        <f>IF(H174="smartmeter_1ph",Table4[[#This Row],[total_cost_npr]],Table4[[#This Row],[total_cost_npr]]/Table4[[#This Row],[pv_kWp]])</f>
        <v>32854.545454545456</v>
      </c>
      <c r="N174" s="1"/>
      <c r="O174" s="1"/>
      <c r="P174" s="1">
        <v>1390</v>
      </c>
      <c r="Q174" s="3">
        <f>Table4[[#This Row],[total_cost_eur]]/Table4[[#This Row],[pv_kWp]]</f>
        <v>252.72727272727272</v>
      </c>
      <c r="R174" s="1"/>
      <c r="S174" s="1"/>
      <c r="T174" s="1">
        <v>5.5</v>
      </c>
      <c r="U174" s="1"/>
      <c r="V174" s="1"/>
      <c r="W174" s="1"/>
      <c r="X174" s="1"/>
      <c r="Y174" s="1"/>
      <c r="Z174" s="1"/>
      <c r="AA174" s="1"/>
      <c r="AB174" s="1"/>
      <c r="AC174" s="1"/>
      <c r="AD174" s="1"/>
      <c r="AE174" s="1"/>
      <c r="AF174" s="1"/>
      <c r="AG174" s="1"/>
      <c r="AH174" s="6"/>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row>
    <row r="175" spans="1:63" ht="30" thickBot="1" x14ac:dyDescent="0.25">
      <c r="A175" s="3">
        <v>175</v>
      </c>
      <c r="B175" s="1" t="s">
        <v>427</v>
      </c>
      <c r="C175" s="3" t="s">
        <v>543</v>
      </c>
      <c r="D175" s="1" t="s">
        <v>452</v>
      </c>
      <c r="E175" s="1"/>
      <c r="F175" s="1">
        <v>2022</v>
      </c>
      <c r="G175" s="1" t="s">
        <v>51</v>
      </c>
      <c r="H175" s="1" t="s">
        <v>81</v>
      </c>
      <c r="I175" s="1" t="s">
        <v>454</v>
      </c>
      <c r="J175" s="113">
        <f>Table4[[#This Row],[total_cost_npr]]*(1/'Calculations &amp; Assumptions'!$C$6)</f>
        <v>1591.2240184757504</v>
      </c>
      <c r="K175" s="113">
        <f>Table4[[#This Row],[system_cost_npr_per_kwp]]*(1/'Calculations &amp; Assumptions'!$C$6)</f>
        <v>176.80266871952784</v>
      </c>
      <c r="L175" s="23">
        <f>IF(Table4[[#This Row],[total_cost_inr]]&gt;0, Table4[[#This Row],[total_cost_inr]]*'Calculations &amp; Assumptions'!$C$7,IF(Table4[[#This Row],[total_cost_eur]]&gt;0,Table4[[#This Row],[total_cost_eur]]*'Calculations &amp; Assumptions'!$C$5,0))</f>
        <v>206700</v>
      </c>
      <c r="M175" s="77">
        <f>IF(H175="smartmeter_1ph",Table4[[#This Row],[total_cost_npr]],Table4[[#This Row],[total_cost_npr]]/Table4[[#This Row],[pv_kWp]])</f>
        <v>22966.666666666668</v>
      </c>
      <c r="N175" s="1"/>
      <c r="O175" s="1"/>
      <c r="P175" s="1">
        <v>1590</v>
      </c>
      <c r="Q175" s="3">
        <f>Table4[[#This Row],[total_cost_eur]]/Table4[[#This Row],[pv_kWp]]</f>
        <v>176.66666666666666</v>
      </c>
      <c r="R175" s="1"/>
      <c r="S175" s="1"/>
      <c r="T175" s="1">
        <v>9</v>
      </c>
      <c r="U175" s="1"/>
      <c r="V175" s="1"/>
      <c r="W175" s="1"/>
      <c r="X175" s="1"/>
      <c r="Y175" s="1"/>
      <c r="Z175" s="1"/>
      <c r="AA175" s="1"/>
      <c r="AB175" s="1"/>
      <c r="AC175" s="1"/>
      <c r="AD175" s="1"/>
      <c r="AE175" s="1"/>
      <c r="AF175" s="1"/>
      <c r="AG175" s="1"/>
      <c r="AH175" s="6"/>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row>
    <row r="176" spans="1:63" ht="30" thickBot="1" x14ac:dyDescent="0.25">
      <c r="A176" s="3">
        <v>176</v>
      </c>
      <c r="B176" s="1" t="s">
        <v>427</v>
      </c>
      <c r="C176" s="3" t="s">
        <v>543</v>
      </c>
      <c r="D176" s="1" t="s">
        <v>452</v>
      </c>
      <c r="E176" s="1"/>
      <c r="F176" s="1">
        <v>2022</v>
      </c>
      <c r="G176" s="1" t="s">
        <v>51</v>
      </c>
      <c r="H176" s="1" t="s">
        <v>81</v>
      </c>
      <c r="I176" s="1" t="s">
        <v>456</v>
      </c>
      <c r="J176" s="113">
        <f>Table4[[#This Row],[total_cost_npr]]*(1/'Calculations &amp; Assumptions'!$C$6)</f>
        <v>294.22632794457274</v>
      </c>
      <c r="K176" s="113">
        <f>Table4[[#This Row],[system_cost_npr_per_kwp]]*(1/'Calculations &amp; Assumptions'!$C$6)</f>
        <v>147.11316397228637</v>
      </c>
      <c r="L176" s="23">
        <f>IF(Table4[[#This Row],[total_cost_inr]]&gt;0, Table4[[#This Row],[total_cost_inr]]*'Calculations &amp; Assumptions'!$C$7,IF(Table4[[#This Row],[total_cost_eur]]&gt;0,Table4[[#This Row],[total_cost_eur]]*'Calculations &amp; Assumptions'!$C$5,0))</f>
        <v>38220</v>
      </c>
      <c r="M176" s="77">
        <f>IF(H176="smartmeter_1ph",Table4[[#This Row],[total_cost_npr]],Table4[[#This Row],[total_cost_npr]]/Table4[[#This Row],[pv_kWp]])</f>
        <v>19110</v>
      </c>
      <c r="N176" s="1"/>
      <c r="O176" s="1"/>
      <c r="P176" s="1">
        <v>294</v>
      </c>
      <c r="Q176" s="3">
        <f>Table4[[#This Row],[total_cost_eur]]/Table4[[#This Row],[pv_kWp]]</f>
        <v>147</v>
      </c>
      <c r="R176" s="1"/>
      <c r="S176" s="1"/>
      <c r="T176" s="1">
        <v>2</v>
      </c>
      <c r="U176" s="1"/>
      <c r="V176" s="1"/>
      <c r="W176" s="1"/>
      <c r="X176" s="1"/>
      <c r="Y176" s="1"/>
      <c r="Z176" s="1"/>
      <c r="AA176" s="1"/>
      <c r="AB176" s="1"/>
      <c r="AC176" s="1"/>
      <c r="AD176" s="1"/>
      <c r="AE176" s="1"/>
      <c r="AF176" s="1"/>
      <c r="AG176" s="1"/>
      <c r="AH176" s="6"/>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row>
    <row r="177" spans="1:63" ht="30" thickBot="1" x14ac:dyDescent="0.25">
      <c r="A177" s="3">
        <v>177</v>
      </c>
      <c r="B177" s="1" t="s">
        <v>427</v>
      </c>
      <c r="C177" s="3" t="s">
        <v>543</v>
      </c>
      <c r="D177" s="1" t="s">
        <v>452</v>
      </c>
      <c r="E177" s="1"/>
      <c r="F177" s="1">
        <v>2022</v>
      </c>
      <c r="G177" s="1" t="s">
        <v>51</v>
      </c>
      <c r="H177" s="1" t="s">
        <v>81</v>
      </c>
      <c r="I177" s="1" t="s">
        <v>454</v>
      </c>
      <c r="J177" s="113">
        <f>Table4[[#This Row],[total_cost_npr]]*(1/'Calculations &amp; Assumptions'!$C$6)</f>
        <v>941.72440338722083</v>
      </c>
      <c r="K177" s="113">
        <f>Table4[[#This Row],[system_cost_npr_per_kwp]]*(1/'Calculations &amp; Assumptions'!$C$6)</f>
        <v>188.34488067744417</v>
      </c>
      <c r="L177" s="23">
        <f>IF(Table4[[#This Row],[total_cost_inr]]&gt;0, Table4[[#This Row],[total_cost_inr]]*'Calculations &amp; Assumptions'!$C$7,IF(Table4[[#This Row],[total_cost_eur]]&gt;0,Table4[[#This Row],[total_cost_eur]]*'Calculations &amp; Assumptions'!$C$5,0))</f>
        <v>122330</v>
      </c>
      <c r="M177" s="77">
        <f>IF(H177="smartmeter_1ph",Table4[[#This Row],[total_cost_npr]],Table4[[#This Row],[total_cost_npr]]/Table4[[#This Row],[pv_kWp]])</f>
        <v>24466</v>
      </c>
      <c r="N177" s="1"/>
      <c r="O177" s="1"/>
      <c r="P177" s="1">
        <v>941</v>
      </c>
      <c r="Q177" s="3">
        <f>Table4[[#This Row],[total_cost_eur]]/Table4[[#This Row],[pv_kWp]]</f>
        <v>188.2</v>
      </c>
      <c r="R177" s="1"/>
      <c r="S177" s="1"/>
      <c r="T177" s="1">
        <v>5</v>
      </c>
      <c r="U177" s="1"/>
      <c r="V177" s="1"/>
      <c r="W177" s="1"/>
      <c r="X177" s="1"/>
      <c r="Y177" s="1"/>
      <c r="Z177" s="1"/>
      <c r="AA177" s="1"/>
      <c r="AB177" s="1"/>
      <c r="AC177" s="1"/>
      <c r="AD177" s="1"/>
      <c r="AE177" s="1"/>
      <c r="AF177" s="1"/>
      <c r="AG177" s="1"/>
      <c r="AH177" s="6"/>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row>
    <row r="178" spans="1:63" ht="30" thickBot="1" x14ac:dyDescent="0.25">
      <c r="A178" s="3">
        <v>178</v>
      </c>
      <c r="B178" s="1" t="s">
        <v>427</v>
      </c>
      <c r="C178" s="3" t="s">
        <v>543</v>
      </c>
      <c r="D178" s="1" t="s">
        <v>83</v>
      </c>
      <c r="E178" s="1"/>
      <c r="F178" s="1">
        <v>2022</v>
      </c>
      <c r="G178" s="1" t="s">
        <v>51</v>
      </c>
      <c r="H178" s="1" t="s">
        <v>81</v>
      </c>
      <c r="I178" s="1" t="s">
        <v>457</v>
      </c>
      <c r="J178" s="113">
        <f>Table4[[#This Row],[total_cost_npr]]*(1/'Calculations &amp; Assumptions'!$C$6)</f>
        <v>1961.5088529638181</v>
      </c>
      <c r="K178" s="113">
        <f>Table4[[#This Row],[system_cost_npr_per_kwp]]*(1/'Calculations &amp; Assumptions'!$C$6)</f>
        <v>245.18860662047726</v>
      </c>
      <c r="L178" s="23">
        <f>IF(Table4[[#This Row],[total_cost_inr]]&gt;0, Table4[[#This Row],[total_cost_inr]]*'Calculations &amp; Assumptions'!$C$7,IF(Table4[[#This Row],[total_cost_eur]]&gt;0,Table4[[#This Row],[total_cost_eur]]*'Calculations &amp; Assumptions'!$C$5,0))</f>
        <v>254800</v>
      </c>
      <c r="M178" s="77">
        <f>IF(H178="smartmeter_1ph",Table4[[#This Row],[total_cost_npr]],Table4[[#This Row],[total_cost_npr]]/Table4[[#This Row],[pv_kWp]])</f>
        <v>31850</v>
      </c>
      <c r="N178" s="1"/>
      <c r="O178" s="1"/>
      <c r="P178" s="1">
        <v>1960</v>
      </c>
      <c r="Q178" s="3">
        <f>Table4[[#This Row],[total_cost_eur]]/Table4[[#This Row],[pv_kWp]]</f>
        <v>245</v>
      </c>
      <c r="R178" s="1"/>
      <c r="S178" s="1"/>
      <c r="T178" s="1">
        <v>8</v>
      </c>
      <c r="U178" s="1"/>
      <c r="V178" s="1"/>
      <c r="W178" s="1"/>
      <c r="X178" s="1"/>
      <c r="Y178" s="1"/>
      <c r="Z178" s="1"/>
      <c r="AA178" s="1"/>
      <c r="AB178" s="1"/>
      <c r="AC178" s="1"/>
      <c r="AD178" s="1"/>
      <c r="AE178" s="1"/>
      <c r="AF178" s="1"/>
      <c r="AG178" s="1"/>
      <c r="AH178" s="6"/>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row>
    <row r="179" spans="1:63" ht="30" thickBot="1" x14ac:dyDescent="0.25">
      <c r="A179" s="3">
        <v>179</v>
      </c>
      <c r="B179" s="1" t="s">
        <v>427</v>
      </c>
      <c r="C179" s="3" t="s">
        <v>543</v>
      </c>
      <c r="D179" s="1" t="s">
        <v>83</v>
      </c>
      <c r="E179" s="1"/>
      <c r="F179" s="1">
        <v>2022</v>
      </c>
      <c r="G179" s="1" t="s">
        <v>51</v>
      </c>
      <c r="H179" s="1" t="s">
        <v>81</v>
      </c>
      <c r="I179" s="1" t="s">
        <v>457</v>
      </c>
      <c r="J179" s="113">
        <f>Table4[[#This Row],[total_cost_npr]]*(1/'Calculations &amp; Assumptions'!$C$6)</f>
        <v>1381.0623556581984</v>
      </c>
      <c r="K179" s="113">
        <f>Table4[[#This Row],[system_cost_npr_per_kwp]]*(1/'Calculations &amp; Assumptions'!$C$6)</f>
        <v>276.21247113163969</v>
      </c>
      <c r="L179" s="23">
        <f>IF(Table4[[#This Row],[total_cost_inr]]&gt;0, Table4[[#This Row],[total_cost_inr]]*'Calculations &amp; Assumptions'!$C$7,IF(Table4[[#This Row],[total_cost_eur]]&gt;0,Table4[[#This Row],[total_cost_eur]]*'Calculations &amp; Assumptions'!$C$5,0))</f>
        <v>179400</v>
      </c>
      <c r="M179" s="77">
        <f>IF(H179="smartmeter_1ph",Table4[[#This Row],[total_cost_npr]],Table4[[#This Row],[total_cost_npr]]/Table4[[#This Row],[pv_kWp]])</f>
        <v>35880</v>
      </c>
      <c r="N179" s="1"/>
      <c r="O179" s="1"/>
      <c r="P179" s="1">
        <v>1380</v>
      </c>
      <c r="Q179" s="3">
        <f>Table4[[#This Row],[total_cost_eur]]/Table4[[#This Row],[pv_kWp]]</f>
        <v>276</v>
      </c>
      <c r="R179" s="1"/>
      <c r="S179" s="1"/>
      <c r="T179" s="1">
        <v>5</v>
      </c>
      <c r="U179" s="1"/>
      <c r="V179" s="1"/>
      <c r="W179" s="1"/>
      <c r="X179" s="1"/>
      <c r="Y179" s="1"/>
      <c r="Z179" s="1"/>
      <c r="AA179" s="1"/>
      <c r="AB179" s="1"/>
      <c r="AC179" s="1"/>
      <c r="AD179" s="1"/>
      <c r="AE179" s="1"/>
      <c r="AF179" s="1"/>
      <c r="AG179" s="1"/>
      <c r="AH179" s="6"/>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row>
    <row r="180" spans="1:63" ht="30" thickBot="1" x14ac:dyDescent="0.25">
      <c r="A180" s="3">
        <v>180</v>
      </c>
      <c r="B180" s="1" t="s">
        <v>427</v>
      </c>
      <c r="C180" s="3" t="s">
        <v>543</v>
      </c>
      <c r="D180" s="1" t="s">
        <v>155</v>
      </c>
      <c r="E180" s="1"/>
      <c r="F180" s="1">
        <v>2022</v>
      </c>
      <c r="G180" s="1" t="s">
        <v>51</v>
      </c>
      <c r="H180" s="1" t="s">
        <v>81</v>
      </c>
      <c r="I180" s="1" t="s">
        <v>458</v>
      </c>
      <c r="J180" s="113">
        <f>Table4[[#This Row],[total_cost_npr]]*(1/'Calculations &amp; Assumptions'!$C$6)</f>
        <v>1731.3317936874516</v>
      </c>
      <c r="K180" s="113">
        <f>Table4[[#This Row],[system_cost_npr_per_kwp]]*(1/'Calculations &amp; Assumptions'!$C$6)</f>
        <v>173.13317936874517</v>
      </c>
      <c r="L180" s="23">
        <f>IF(Table4[[#This Row],[total_cost_inr]]&gt;0, Table4[[#This Row],[total_cost_inr]]*'Calculations &amp; Assumptions'!$C$7,IF(Table4[[#This Row],[total_cost_eur]]&gt;0,Table4[[#This Row],[total_cost_eur]]*'Calculations &amp; Assumptions'!$C$5,0))</f>
        <v>224900</v>
      </c>
      <c r="M180" s="77">
        <f>IF(H180="smartmeter_1ph",Table4[[#This Row],[total_cost_npr]],Table4[[#This Row],[total_cost_npr]]/Table4[[#This Row],[pv_kWp]])</f>
        <v>22490</v>
      </c>
      <c r="N180" s="1"/>
      <c r="O180" s="1"/>
      <c r="P180" s="1">
        <v>1730</v>
      </c>
      <c r="Q180" s="3">
        <f>Table4[[#This Row],[total_cost_eur]]/Table4[[#This Row],[pv_kWp]]</f>
        <v>173</v>
      </c>
      <c r="R180" s="1"/>
      <c r="S180" s="1"/>
      <c r="T180" s="1">
        <v>10</v>
      </c>
      <c r="U180" s="1"/>
      <c r="V180" s="1"/>
      <c r="W180" s="1"/>
      <c r="X180" s="1"/>
      <c r="Y180" s="1"/>
      <c r="Z180" s="1"/>
      <c r="AA180" s="1"/>
      <c r="AB180" s="1"/>
      <c r="AC180" s="1"/>
      <c r="AD180" s="1"/>
      <c r="AE180" s="1"/>
      <c r="AF180" s="1"/>
      <c r="AG180" s="1"/>
      <c r="AH180" s="6"/>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row>
    <row r="181" spans="1:63" ht="30" thickBot="1" x14ac:dyDescent="0.25">
      <c r="A181" s="3">
        <v>181</v>
      </c>
      <c r="B181" s="1" t="s">
        <v>427</v>
      </c>
      <c r="C181" s="3" t="s">
        <v>543</v>
      </c>
      <c r="D181" s="1" t="s">
        <v>155</v>
      </c>
      <c r="E181" s="1"/>
      <c r="F181" s="1">
        <v>2022</v>
      </c>
      <c r="G181" s="1" t="s">
        <v>51</v>
      </c>
      <c r="H181" s="1" t="s">
        <v>81</v>
      </c>
      <c r="I181" s="1" t="s">
        <v>459</v>
      </c>
      <c r="J181" s="113">
        <f>Table4[[#This Row],[total_cost_npr]]*(1/'Calculations &amp; Assumptions'!$C$6)</f>
        <v>928.71439568899143</v>
      </c>
      <c r="K181" s="113">
        <f>Table4[[#This Row],[system_cost_npr_per_kwp]]*(1/'Calculations &amp; Assumptions'!$C$6)</f>
        <v>168.85716285254392</v>
      </c>
      <c r="L181" s="23">
        <f>IF(Table4[[#This Row],[total_cost_inr]]&gt;0, Table4[[#This Row],[total_cost_inr]]*'Calculations &amp; Assumptions'!$C$7,IF(Table4[[#This Row],[total_cost_eur]]&gt;0,Table4[[#This Row],[total_cost_eur]]*'Calculations &amp; Assumptions'!$C$5,0))</f>
        <v>120640</v>
      </c>
      <c r="M181" s="77">
        <f>IF(H181="smartmeter_1ph",Table4[[#This Row],[total_cost_npr]],Table4[[#This Row],[total_cost_npr]]/Table4[[#This Row],[pv_kWp]])</f>
        <v>21934.545454545456</v>
      </c>
      <c r="N181" s="1"/>
      <c r="O181" s="1"/>
      <c r="P181" s="1">
        <v>928</v>
      </c>
      <c r="Q181" s="3">
        <f>Table4[[#This Row],[total_cost_eur]]/Table4[[#This Row],[pv_kWp]]</f>
        <v>168.72727272727272</v>
      </c>
      <c r="R181" s="1"/>
      <c r="S181" s="1"/>
      <c r="T181" s="1">
        <v>5.5</v>
      </c>
      <c r="U181" s="1"/>
      <c r="V181" s="1"/>
      <c r="W181" s="1"/>
      <c r="X181" s="1"/>
      <c r="Y181" s="1"/>
      <c r="Z181" s="1"/>
      <c r="AA181" s="1"/>
      <c r="AB181" s="1"/>
      <c r="AC181" s="1"/>
      <c r="AD181" s="1"/>
      <c r="AE181" s="1"/>
      <c r="AF181" s="1"/>
      <c r="AG181" s="1"/>
      <c r="AH181" s="6"/>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row>
    <row r="182" spans="1:63" ht="30" thickBot="1" x14ac:dyDescent="0.25">
      <c r="A182" s="3">
        <v>182</v>
      </c>
      <c r="B182" s="1" t="s">
        <v>427</v>
      </c>
      <c r="C182" s="3" t="s">
        <v>543</v>
      </c>
      <c r="D182" s="1" t="s">
        <v>155</v>
      </c>
      <c r="E182" s="1"/>
      <c r="F182" s="1">
        <v>2022</v>
      </c>
      <c r="G182" s="1" t="s">
        <v>51</v>
      </c>
      <c r="H182" s="1" t="s">
        <v>81</v>
      </c>
      <c r="I182" s="1" t="s">
        <v>460</v>
      </c>
      <c r="J182" s="113">
        <f>Table4[[#This Row],[total_cost_npr]]*(1/'Calculations &amp; Assumptions'!$C$6)</f>
        <v>774.59584295612001</v>
      </c>
      <c r="K182" s="113">
        <f>Table4[[#This Row],[system_cost_npr_per_kwp]]*(1/'Calculations &amp; Assumptions'!$C$6)</f>
        <v>129.09930715935334</v>
      </c>
      <c r="L182" s="23">
        <f>IF(Table4[[#This Row],[total_cost_inr]]&gt;0, Table4[[#This Row],[total_cost_inr]]*'Calculations &amp; Assumptions'!$C$7,IF(Table4[[#This Row],[total_cost_eur]]&gt;0,Table4[[#This Row],[total_cost_eur]]*'Calculations &amp; Assumptions'!$C$5,0))</f>
        <v>100620</v>
      </c>
      <c r="M182" s="77">
        <f>IF(H182="smartmeter_1ph",Table4[[#This Row],[total_cost_npr]],Table4[[#This Row],[total_cost_npr]]/Table4[[#This Row],[pv_kWp]])</f>
        <v>16770</v>
      </c>
      <c r="N182" s="1"/>
      <c r="O182" s="1"/>
      <c r="P182" s="1">
        <v>774</v>
      </c>
      <c r="Q182" s="3">
        <f>Table4[[#This Row],[total_cost_eur]]/Table4[[#This Row],[pv_kWp]]</f>
        <v>129</v>
      </c>
      <c r="R182" s="1"/>
      <c r="S182" s="1"/>
      <c r="T182" s="1">
        <v>6</v>
      </c>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row>
    <row r="183" spans="1:63" ht="30" thickBot="1" x14ac:dyDescent="0.25">
      <c r="A183" s="3">
        <v>183</v>
      </c>
      <c r="B183" s="1" t="s">
        <v>427</v>
      </c>
      <c r="C183" s="3" t="s">
        <v>543</v>
      </c>
      <c r="D183" s="1" t="s">
        <v>155</v>
      </c>
      <c r="E183" s="1"/>
      <c r="F183" s="1">
        <v>2022</v>
      </c>
      <c r="G183" s="1" t="s">
        <v>51</v>
      </c>
      <c r="H183" s="1" t="s">
        <v>81</v>
      </c>
      <c r="I183" s="1" t="s">
        <v>461</v>
      </c>
      <c r="J183" s="113">
        <f>Table4[[#This Row],[total_cost_npr]]*(1/'Calculations &amp; Assumptions'!$C$6)</f>
        <v>2061.5858352578907</v>
      </c>
      <c r="K183" s="113">
        <f>Table4[[#This Row],[system_cost_npr_per_kwp]]*(1/'Calculations &amp; Assumptions'!$C$6)</f>
        <v>229.06509280643226</v>
      </c>
      <c r="L183" s="23">
        <f>IF(Table4[[#This Row],[total_cost_inr]]&gt;0, Table4[[#This Row],[total_cost_inr]]*'Calculations &amp; Assumptions'!$C$7,IF(Table4[[#This Row],[total_cost_eur]]&gt;0,Table4[[#This Row],[total_cost_eur]]*'Calculations &amp; Assumptions'!$C$5,0))</f>
        <v>267800</v>
      </c>
      <c r="M183" s="77">
        <f>IF(H183="smartmeter_1ph",Table4[[#This Row],[total_cost_npr]],Table4[[#This Row],[total_cost_npr]]/Table4[[#This Row],[pv_kWp]])</f>
        <v>29755.555555555555</v>
      </c>
      <c r="N183" s="1"/>
      <c r="O183" s="1"/>
      <c r="P183" s="1">
        <v>2060</v>
      </c>
      <c r="Q183" s="3">
        <f>Table4[[#This Row],[total_cost_eur]]/Table4[[#This Row],[pv_kWp]]</f>
        <v>228.88888888888889</v>
      </c>
      <c r="R183" s="1"/>
      <c r="S183" s="1"/>
      <c r="T183" s="1">
        <v>9</v>
      </c>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row>
    <row r="184" spans="1:63" ht="30" thickBot="1" x14ac:dyDescent="0.25">
      <c r="A184" s="3">
        <v>184</v>
      </c>
      <c r="B184" s="3" t="s">
        <v>427</v>
      </c>
      <c r="C184" s="3" t="s">
        <v>543</v>
      </c>
      <c r="D184" s="1" t="s">
        <v>155</v>
      </c>
      <c r="E184" s="1"/>
      <c r="F184" s="1">
        <v>2022</v>
      </c>
      <c r="G184" s="1" t="s">
        <v>51</v>
      </c>
      <c r="H184" s="1" t="s">
        <v>81</v>
      </c>
      <c r="I184" s="1" t="s">
        <v>462</v>
      </c>
      <c r="J184" s="113">
        <f>Table4[[#This Row],[total_cost_npr]]*(1/'Calculations &amp; Assumptions'!$C$6)</f>
        <v>1861.4318706697459</v>
      </c>
      <c r="K184" s="113">
        <f>Table4[[#This Row],[system_cost_npr_per_kwp]]*(1/'Calculations &amp; Assumptions'!$C$6)</f>
        <v>186.14318706697458</v>
      </c>
      <c r="L184" s="23">
        <f>IF(Table4[[#This Row],[total_cost_inr]]&gt;0, Table4[[#This Row],[total_cost_inr]]*'Calculations &amp; Assumptions'!$C$7,IF(Table4[[#This Row],[total_cost_eur]]&gt;0,Table4[[#This Row],[total_cost_eur]]*'Calculations &amp; Assumptions'!$C$5,0))</f>
        <v>241800</v>
      </c>
      <c r="M184" s="77">
        <f>IF(H184="smartmeter_1ph",Table4[[#This Row],[total_cost_npr]],Table4[[#This Row],[total_cost_npr]]/Table4[[#This Row],[pv_kWp]])</f>
        <v>24180</v>
      </c>
      <c r="N184" s="1"/>
      <c r="O184" s="1"/>
      <c r="P184" s="1">
        <v>1860</v>
      </c>
      <c r="Q184" s="3">
        <f>Table4[[#This Row],[total_cost_eur]]/Table4[[#This Row],[pv_kWp]]</f>
        <v>186</v>
      </c>
      <c r="R184" s="1"/>
      <c r="S184" s="1"/>
      <c r="T184" s="1">
        <v>10</v>
      </c>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row>
    <row r="185" spans="1:63" ht="30" thickBot="1" x14ac:dyDescent="0.25">
      <c r="A185" s="3">
        <v>185</v>
      </c>
      <c r="B185" s="3" t="s">
        <v>427</v>
      </c>
      <c r="C185" s="3" t="s">
        <v>543</v>
      </c>
      <c r="D185" s="1" t="s">
        <v>155</v>
      </c>
      <c r="E185" s="1"/>
      <c r="F185" s="1">
        <v>2022</v>
      </c>
      <c r="G185" s="1" t="s">
        <v>51</v>
      </c>
      <c r="H185" s="1" t="s">
        <v>81</v>
      </c>
      <c r="I185" s="1" t="s">
        <v>462</v>
      </c>
      <c r="J185" s="113">
        <f>Table4[[#This Row],[total_cost_npr]]*(1/'Calculations &amp; Assumptions'!$C$6)</f>
        <v>5674.3648960739029</v>
      </c>
      <c r="K185" s="113">
        <f>Table4[[#This Row],[system_cost_npr_per_kwp]]*(1/'Calculations &amp; Assumptions'!$C$6)</f>
        <v>189.14549653579675</v>
      </c>
      <c r="L185" s="23">
        <f>IF(Table4[[#This Row],[total_cost_inr]]&gt;0, Table4[[#This Row],[total_cost_inr]]*'Calculations &amp; Assumptions'!$C$7,IF(Table4[[#This Row],[total_cost_eur]]&gt;0,Table4[[#This Row],[total_cost_eur]]*'Calculations &amp; Assumptions'!$C$5,0))</f>
        <v>737100</v>
      </c>
      <c r="M185" s="77">
        <f>IF(H185="smartmeter_1ph",Table4[[#This Row],[total_cost_npr]],Table4[[#This Row],[total_cost_npr]]/Table4[[#This Row],[pv_kWp]])</f>
        <v>24570</v>
      </c>
      <c r="N185" s="1"/>
      <c r="O185" s="1"/>
      <c r="P185" s="1">
        <v>5670</v>
      </c>
      <c r="Q185" s="3">
        <f>Table4[[#This Row],[total_cost_eur]]/Table4[[#This Row],[pv_kWp]]</f>
        <v>189</v>
      </c>
      <c r="R185" s="1"/>
      <c r="S185" s="1"/>
      <c r="T185" s="1">
        <v>30</v>
      </c>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row>
    <row r="186" spans="1:63" ht="30" thickBot="1" x14ac:dyDescent="0.25">
      <c r="A186" s="3">
        <v>186</v>
      </c>
      <c r="B186" s="3" t="s">
        <v>427</v>
      </c>
      <c r="C186" s="3" t="s">
        <v>543</v>
      </c>
      <c r="D186" s="1" t="s">
        <v>155</v>
      </c>
      <c r="E186" s="1"/>
      <c r="F186" s="1">
        <v>2022</v>
      </c>
      <c r="G186" s="1" t="s">
        <v>51</v>
      </c>
      <c r="H186" s="1" t="s">
        <v>81</v>
      </c>
      <c r="I186" s="1" t="s">
        <v>462</v>
      </c>
      <c r="J186" s="113">
        <f>Table4[[#This Row],[total_cost_npr]]*(1/'Calculations &amp; Assumptions'!$C$6)</f>
        <v>8516.5511932255577</v>
      </c>
      <c r="K186" s="113">
        <f>Table4[[#This Row],[system_cost_npr_per_kwp]]*(1/'Calculations &amp; Assumptions'!$C$6)</f>
        <v>170.33102386451114</v>
      </c>
      <c r="L186" s="23">
        <f>IF(Table4[[#This Row],[total_cost_inr]]&gt;0, Table4[[#This Row],[total_cost_inr]]*'Calculations &amp; Assumptions'!$C$7,IF(Table4[[#This Row],[total_cost_eur]]&gt;0,Table4[[#This Row],[total_cost_eur]]*'Calculations &amp; Assumptions'!$C$5,0))</f>
        <v>1106300</v>
      </c>
      <c r="M186" s="77">
        <f>IF(H186="smartmeter_1ph",Table4[[#This Row],[total_cost_npr]],Table4[[#This Row],[total_cost_npr]]/Table4[[#This Row],[pv_kWp]])</f>
        <v>22126</v>
      </c>
      <c r="N186" s="1"/>
      <c r="O186" s="1"/>
      <c r="P186" s="1">
        <v>8510</v>
      </c>
      <c r="Q186" s="3">
        <f>Table4[[#This Row],[total_cost_eur]]/Table4[[#This Row],[pv_kWp]]</f>
        <v>170.2</v>
      </c>
      <c r="R186" s="1"/>
      <c r="S186" s="1"/>
      <c r="T186" s="1">
        <v>50</v>
      </c>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row>
    <row r="187" spans="1:63" ht="30" thickBot="1" x14ac:dyDescent="0.25">
      <c r="A187" s="3">
        <v>187</v>
      </c>
      <c r="B187" s="3" t="s">
        <v>427</v>
      </c>
      <c r="C187" s="3" t="s">
        <v>543</v>
      </c>
      <c r="D187" s="1" t="s">
        <v>155</v>
      </c>
      <c r="E187" s="1"/>
      <c r="F187" s="1">
        <v>2022</v>
      </c>
      <c r="G187" s="1" t="s">
        <v>51</v>
      </c>
      <c r="H187" s="1" t="s">
        <v>81</v>
      </c>
      <c r="I187" s="1" t="s">
        <v>462</v>
      </c>
      <c r="J187" s="113">
        <f>Table4[[#This Row],[total_cost_npr]]*(1/'Calculations &amp; Assumptions'!$C$6)</f>
        <v>15912.240184757504</v>
      </c>
      <c r="K187" s="113">
        <f>Table4[[#This Row],[system_cost_npr_per_kwp]]*(1/'Calculations &amp; Assumptions'!$C$6)</f>
        <v>159.12240184757505</v>
      </c>
      <c r="L187" s="23">
        <f>IF(Table4[[#This Row],[total_cost_inr]]&gt;0, Table4[[#This Row],[total_cost_inr]]*'Calculations &amp; Assumptions'!$C$7,IF(Table4[[#This Row],[total_cost_eur]]&gt;0,Table4[[#This Row],[total_cost_eur]]*'Calculations &amp; Assumptions'!$C$5,0))</f>
        <v>2067000</v>
      </c>
      <c r="M187" s="77">
        <f>IF(H187="smartmeter_1ph",Table4[[#This Row],[total_cost_npr]],Table4[[#This Row],[total_cost_npr]]/Table4[[#This Row],[pv_kWp]])</f>
        <v>20670</v>
      </c>
      <c r="N187" s="1"/>
      <c r="O187" s="1"/>
      <c r="P187" s="1">
        <v>15900</v>
      </c>
      <c r="Q187" s="3">
        <f>Table4[[#This Row],[total_cost_eur]]/Table4[[#This Row],[pv_kWp]]</f>
        <v>159</v>
      </c>
      <c r="R187" s="1"/>
      <c r="S187" s="1"/>
      <c r="T187" s="1">
        <v>100</v>
      </c>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row>
    <row r="188" spans="1:63" ht="30" thickBot="1" x14ac:dyDescent="0.25">
      <c r="A188" s="3">
        <v>188</v>
      </c>
      <c r="B188" s="3" t="s">
        <v>427</v>
      </c>
      <c r="C188" s="3" t="s">
        <v>543</v>
      </c>
      <c r="D188" s="3" t="s">
        <v>155</v>
      </c>
      <c r="E188" s="1"/>
      <c r="F188" s="3">
        <v>2022</v>
      </c>
      <c r="G188" s="1" t="s">
        <v>51</v>
      </c>
      <c r="H188" s="1" t="s">
        <v>81</v>
      </c>
      <c r="I188" s="1" t="s">
        <v>462</v>
      </c>
      <c r="J188" s="113">
        <f>Table4[[#This Row],[total_cost_npr]]*(1/'Calculations &amp; Assumptions'!$C$6)</f>
        <v>1861.4318706697459</v>
      </c>
      <c r="K188" s="113">
        <f>Table4[[#This Row],[system_cost_npr_per_kwp]]*(1/'Calculations &amp; Assumptions'!$C$6)</f>
        <v>297.82909930715931</v>
      </c>
      <c r="L188" s="23">
        <f>IF(Table4[[#This Row],[total_cost_inr]]&gt;0, Table4[[#This Row],[total_cost_inr]]*'Calculations &amp; Assumptions'!$C$7,IF(Table4[[#This Row],[total_cost_eur]]&gt;0,Table4[[#This Row],[total_cost_eur]]*'Calculations &amp; Assumptions'!$C$5,0))</f>
        <v>241800</v>
      </c>
      <c r="M188" s="77">
        <f>IF(H188="smartmeter_1ph",Table4[[#This Row],[total_cost_npr]],Table4[[#This Row],[total_cost_npr]]/Table4[[#This Row],[pv_kWp]])</f>
        <v>38688</v>
      </c>
      <c r="N188" s="1"/>
      <c r="O188" s="1"/>
      <c r="P188" s="1">
        <v>1860</v>
      </c>
      <c r="Q188" s="3">
        <f>Table4[[#This Row],[total_cost_eur]]/Table4[[#This Row],[pv_kWp]]</f>
        <v>297.60000000000002</v>
      </c>
      <c r="R188" s="1"/>
      <c r="S188" s="1"/>
      <c r="T188" s="1">
        <v>6.25</v>
      </c>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row>
    <row r="189" spans="1:63" ht="30" thickBot="1" x14ac:dyDescent="0.25">
      <c r="A189" s="3">
        <v>189</v>
      </c>
      <c r="B189" s="3" t="s">
        <v>427</v>
      </c>
      <c r="C189" s="3" t="s">
        <v>543</v>
      </c>
      <c r="D189" s="3" t="s">
        <v>155</v>
      </c>
      <c r="E189" s="1"/>
      <c r="F189" s="3">
        <v>2022</v>
      </c>
      <c r="G189" s="1" t="s">
        <v>51</v>
      </c>
      <c r="H189" s="1" t="s">
        <v>81</v>
      </c>
      <c r="I189" s="1" t="s">
        <v>462</v>
      </c>
      <c r="J189" s="113">
        <f>Table4[[#This Row],[total_cost_npr]]*(1/'Calculations &amp; Assumptions'!$C$6)</f>
        <v>2061.5858352578907</v>
      </c>
      <c r="K189" s="113">
        <f>Table4[[#This Row],[system_cost_npr_per_kwp]]*(1/'Calculations &amp; Assumptions'!$C$6)</f>
        <v>219.31764204871175</v>
      </c>
      <c r="L189" s="23">
        <f>IF(Table4[[#This Row],[total_cost_inr]]&gt;0, Table4[[#This Row],[total_cost_inr]]*'Calculations &amp; Assumptions'!$C$7,IF(Table4[[#This Row],[total_cost_eur]]&gt;0,Table4[[#This Row],[total_cost_eur]]*'Calculations &amp; Assumptions'!$C$5,0))</f>
        <v>267800</v>
      </c>
      <c r="M189" s="77">
        <f>IF(H189="smartmeter_1ph",Table4[[#This Row],[total_cost_npr]],Table4[[#This Row],[total_cost_npr]]/Table4[[#This Row],[pv_kWp]])</f>
        <v>28489.361702127659</v>
      </c>
      <c r="N189" s="1"/>
      <c r="O189" s="1"/>
      <c r="P189" s="1">
        <v>2060</v>
      </c>
      <c r="Q189" s="3">
        <f>Table4[[#This Row],[total_cost_eur]]/Table4[[#This Row],[pv_kWp]]</f>
        <v>219.14893617021275</v>
      </c>
      <c r="R189" s="1"/>
      <c r="S189" s="1"/>
      <c r="T189" s="1">
        <v>9.4</v>
      </c>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row>
    <row r="190" spans="1:63" ht="30" thickBot="1" x14ac:dyDescent="0.25">
      <c r="A190" s="3">
        <v>190</v>
      </c>
      <c r="B190" s="84" t="s">
        <v>427</v>
      </c>
      <c r="C190" s="3" t="s">
        <v>543</v>
      </c>
      <c r="D190" s="1" t="s">
        <v>155</v>
      </c>
      <c r="E190" s="1"/>
      <c r="F190" s="3">
        <v>2022</v>
      </c>
      <c r="G190" s="1" t="s">
        <v>51</v>
      </c>
      <c r="H190" s="1" t="s">
        <v>81</v>
      </c>
      <c r="I190" s="84" t="s">
        <v>462</v>
      </c>
      <c r="J190" s="113">
        <f>Table4[[#This Row],[total_cost_npr]]*(1/'Calculations &amp; Assumptions'!$C$6)</f>
        <v>2271.7474980754423</v>
      </c>
      <c r="K190" s="113">
        <f>Table4[[#This Row],[system_cost_npr_per_kwp]]*(1/'Calculations &amp; Assumptions'!$C$6)</f>
        <v>181.7397998460354</v>
      </c>
      <c r="L190" s="23">
        <f>IF(Table4[[#This Row],[total_cost_inr]]&gt;0, Table4[[#This Row],[total_cost_inr]]*'Calculations &amp; Assumptions'!$C$7,IF(Table4[[#This Row],[total_cost_eur]]&gt;0,Table4[[#This Row],[total_cost_eur]]*'Calculations &amp; Assumptions'!$C$5,0))</f>
        <v>295100</v>
      </c>
      <c r="M190" s="77">
        <f>IF(H190="smartmeter_1ph",Table4[[#This Row],[total_cost_npr]],Table4[[#This Row],[total_cost_npr]]/Table4[[#This Row],[pv_kWp]])</f>
        <v>23608</v>
      </c>
      <c r="N190" s="1"/>
      <c r="O190" s="1"/>
      <c r="P190" s="1">
        <v>2270</v>
      </c>
      <c r="Q190" s="3">
        <f>Table4[[#This Row],[total_cost_eur]]/Table4[[#This Row],[pv_kWp]]</f>
        <v>181.6</v>
      </c>
      <c r="R190" s="1"/>
      <c r="S190" s="1"/>
      <c r="T190" s="1">
        <v>12.5</v>
      </c>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row>
    <row r="191" spans="1:63" ht="30" thickBot="1" x14ac:dyDescent="0.25">
      <c r="A191" s="3">
        <v>191</v>
      </c>
      <c r="B191" s="84" t="s">
        <v>427</v>
      </c>
      <c r="C191" s="3" t="s">
        <v>543</v>
      </c>
      <c r="D191" s="1" t="s">
        <v>155</v>
      </c>
      <c r="E191" s="1"/>
      <c r="F191" s="3">
        <v>2022</v>
      </c>
      <c r="G191" s="1" t="s">
        <v>51</v>
      </c>
      <c r="H191" s="1" t="s">
        <v>81</v>
      </c>
      <c r="I191" s="84" t="s">
        <v>461</v>
      </c>
      <c r="J191" s="113">
        <f>Table4[[#This Row],[total_cost_npr]]*(1/'Calculations &amp; Assumptions'!$C$6)</f>
        <v>2161.6628175519627</v>
      </c>
      <c r="K191" s="113">
        <f>Table4[[#This Row],[system_cost_npr_per_kwp]]*(1/'Calculations &amp; Assumptions'!$C$6)</f>
        <v>242.88346264628797</v>
      </c>
      <c r="L191" s="23">
        <f>IF(Table4[[#This Row],[total_cost_inr]]&gt;0, Table4[[#This Row],[total_cost_inr]]*'Calculations &amp; Assumptions'!$C$7,IF(Table4[[#This Row],[total_cost_eur]]&gt;0,Table4[[#This Row],[total_cost_eur]]*'Calculations &amp; Assumptions'!$C$5,0))</f>
        <v>280800</v>
      </c>
      <c r="M191" s="77">
        <f>IF(H191="smartmeter_1ph",Table4[[#This Row],[total_cost_npr]],Table4[[#This Row],[total_cost_npr]]/Table4[[#This Row],[pv_kWp]])</f>
        <v>31550.561797752809</v>
      </c>
      <c r="N191" s="1"/>
      <c r="O191" s="1"/>
      <c r="P191" s="1">
        <v>2160</v>
      </c>
      <c r="Q191" s="3">
        <f>Table4[[#This Row],[total_cost_eur]]/Table4[[#This Row],[pv_kWp]]</f>
        <v>242.69662921348313</v>
      </c>
      <c r="R191" s="1"/>
      <c r="S191" s="1"/>
      <c r="T191" s="1">
        <v>8.9</v>
      </c>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row>
    <row r="192" spans="1:63" ht="30" thickBot="1" x14ac:dyDescent="0.25">
      <c r="A192" s="3">
        <v>192</v>
      </c>
      <c r="B192" s="3" t="s">
        <v>427</v>
      </c>
      <c r="C192" s="3" t="s">
        <v>543</v>
      </c>
      <c r="D192" s="1" t="s">
        <v>155</v>
      </c>
      <c r="E192" s="1"/>
      <c r="F192" s="1">
        <v>2022</v>
      </c>
      <c r="G192" s="1" t="s">
        <v>51</v>
      </c>
      <c r="H192" s="1" t="s">
        <v>81</v>
      </c>
      <c r="I192" s="1" t="s">
        <v>461</v>
      </c>
      <c r="J192" s="113">
        <f>Table4[[#This Row],[total_cost_npr]]*(1/'Calculations &amp; Assumptions'!$C$6)</f>
        <v>2371.8244803695147</v>
      </c>
      <c r="K192" s="113">
        <f>Table4[[#This Row],[system_cost_npr_per_kwp]]*(1/'Calculations &amp; Assumptions'!$C$6)</f>
        <v>239.57823034035502</v>
      </c>
      <c r="L192" s="23">
        <f>IF(Table4[[#This Row],[total_cost_inr]]&gt;0, Table4[[#This Row],[total_cost_inr]]*'Calculations &amp; Assumptions'!$C$7,IF(Table4[[#This Row],[total_cost_eur]]&gt;0,Table4[[#This Row],[total_cost_eur]]*'Calculations &amp; Assumptions'!$C$5,0))</f>
        <v>308100</v>
      </c>
      <c r="M192" s="77">
        <f>IF(H192="smartmeter_1ph",Table4[[#This Row],[total_cost_npr]],Table4[[#This Row],[total_cost_npr]]/Table4[[#This Row],[pv_kWp]])</f>
        <v>31121.21212121212</v>
      </c>
      <c r="N192" s="1"/>
      <c r="O192" s="1"/>
      <c r="P192" s="1">
        <v>2370</v>
      </c>
      <c r="Q192" s="3">
        <f>Table4[[#This Row],[total_cost_eur]]/Table4[[#This Row],[pv_kWp]]</f>
        <v>239.39393939393938</v>
      </c>
      <c r="R192" s="1"/>
      <c r="S192" s="1"/>
      <c r="T192" s="1">
        <v>9.9</v>
      </c>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row>
    <row r="193" spans="1:63" ht="30" thickBot="1" x14ac:dyDescent="0.25">
      <c r="A193" s="3">
        <v>193</v>
      </c>
      <c r="B193" s="3" t="s">
        <v>427</v>
      </c>
      <c r="C193" s="3" t="s">
        <v>543</v>
      </c>
      <c r="D193" s="1" t="s">
        <v>155</v>
      </c>
      <c r="E193" s="1"/>
      <c r="F193" s="1">
        <v>2022</v>
      </c>
      <c r="G193" s="1" t="s">
        <v>51</v>
      </c>
      <c r="H193" s="1" t="s">
        <v>81</v>
      </c>
      <c r="I193" s="1" t="s">
        <v>461</v>
      </c>
      <c r="J193" s="113">
        <f>Table4[[#This Row],[total_cost_npr]]*(1/'Calculations &amp; Assumptions'!$C$6)</f>
        <v>2581.9861431870668</v>
      </c>
      <c r="K193" s="113">
        <f>Table4[[#This Row],[system_cost_npr_per_kwp]]*(1/'Calculations &amp; Assumptions'!$C$6)</f>
        <v>232.61136425108711</v>
      </c>
      <c r="L193" s="23">
        <f>IF(Table4[[#This Row],[total_cost_inr]]&gt;0, Table4[[#This Row],[total_cost_inr]]*'Calculations &amp; Assumptions'!$C$7,IF(Table4[[#This Row],[total_cost_eur]]&gt;0,Table4[[#This Row],[total_cost_eur]]*'Calculations &amp; Assumptions'!$C$5,0))</f>
        <v>335400</v>
      </c>
      <c r="M193" s="77">
        <f>IF(H193="smartmeter_1ph",Table4[[#This Row],[total_cost_npr]],Table4[[#This Row],[total_cost_npr]]/Table4[[#This Row],[pv_kWp]])</f>
        <v>30216.216216216217</v>
      </c>
      <c r="N193" s="1"/>
      <c r="O193" s="1"/>
      <c r="P193" s="1">
        <v>2580</v>
      </c>
      <c r="Q193" s="3">
        <f>Table4[[#This Row],[total_cost_eur]]/Table4[[#This Row],[pv_kWp]]</f>
        <v>232.43243243243245</v>
      </c>
      <c r="R193" s="1"/>
      <c r="S193" s="1"/>
      <c r="T193" s="1">
        <v>11.1</v>
      </c>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row>
    <row r="194" spans="1:63" ht="30" thickBot="1" x14ac:dyDescent="0.25">
      <c r="A194" s="3">
        <v>194</v>
      </c>
      <c r="B194" s="3" t="s">
        <v>427</v>
      </c>
      <c r="C194" s="3" t="s">
        <v>543</v>
      </c>
      <c r="D194" s="1" t="s">
        <v>155</v>
      </c>
      <c r="E194" s="1"/>
      <c r="F194" s="1">
        <v>2022</v>
      </c>
      <c r="G194" s="1" t="s">
        <v>51</v>
      </c>
      <c r="H194" s="1" t="s">
        <v>81</v>
      </c>
      <c r="I194" s="1" t="s">
        <v>461</v>
      </c>
      <c r="J194" s="113">
        <f>Table4[[#This Row],[total_cost_npr]]*(1/'Calculations &amp; Assumptions'!$C$6)</f>
        <v>2992.3017705927632</v>
      </c>
      <c r="K194" s="113">
        <f>Table4[[#This Row],[system_cost_npr_per_kwp]]*(1/'Calculations &amp; Assumptions'!$C$6)</f>
        <v>226.68952807520938</v>
      </c>
      <c r="L194" s="23">
        <f>IF(Table4[[#This Row],[total_cost_inr]]&gt;0, Table4[[#This Row],[total_cost_inr]]*'Calculations &amp; Assumptions'!$C$7,IF(Table4[[#This Row],[total_cost_eur]]&gt;0,Table4[[#This Row],[total_cost_eur]]*'Calculations &amp; Assumptions'!$C$5,0))</f>
        <v>388700</v>
      </c>
      <c r="M194" s="77">
        <f>IF(H194="smartmeter_1ph",Table4[[#This Row],[total_cost_npr]],Table4[[#This Row],[total_cost_npr]]/Table4[[#This Row],[pv_kWp]])</f>
        <v>29446.9696969697</v>
      </c>
      <c r="N194" s="1"/>
      <c r="O194" s="1"/>
      <c r="P194" s="1">
        <v>2990</v>
      </c>
      <c r="Q194" s="3">
        <f>Table4[[#This Row],[total_cost_eur]]/Table4[[#This Row],[pv_kWp]]</f>
        <v>226.51515151515153</v>
      </c>
      <c r="R194" s="1"/>
      <c r="S194" s="1"/>
      <c r="T194" s="1">
        <v>13.2</v>
      </c>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row>
    <row r="195" spans="1:63" ht="16" thickBot="1" x14ac:dyDescent="0.25">
      <c r="A195" s="3">
        <v>195</v>
      </c>
      <c r="B195" s="25" t="s">
        <v>157</v>
      </c>
      <c r="C195" s="3" t="s">
        <v>543</v>
      </c>
      <c r="D195" s="1" t="s">
        <v>155</v>
      </c>
      <c r="E195" s="1"/>
      <c r="F195" s="1">
        <v>2022</v>
      </c>
      <c r="G195" s="1" t="s">
        <v>274</v>
      </c>
      <c r="H195" s="1" t="s">
        <v>50</v>
      </c>
      <c r="I195" s="27" t="s">
        <v>159</v>
      </c>
      <c r="J195" s="113">
        <f>Table4[[#This Row],[total_cost_npr]]*(1/'Calculations &amp; Assumptions'!$C$6)</f>
        <v>32024.634334103153</v>
      </c>
      <c r="K195" s="113">
        <f>Table4[[#This Row],[system_cost_npr_per_kwp]]*(1/'Calculations &amp; Assumptions'!$C$6)</f>
        <v>400.30792917628941</v>
      </c>
      <c r="L195" s="23">
        <f>IF(Table4[[#This Row],[total_cost_inr]]&gt;0, Table4[[#This Row],[total_cost_inr]]*'Calculations &amp; Assumptions'!$C$7,IF(Table4[[#This Row],[total_cost_eur]]&gt;0,Table4[[#This Row],[total_cost_eur]]*'Calculations &amp; Assumptions'!$C$5,0))</f>
        <v>4160000</v>
      </c>
      <c r="M195" s="77">
        <f>IF(H195="smartmeter_1ph",Table4[[#This Row],[total_cost_npr]],Table4[[#This Row],[total_cost_npr]]/Table4[[#This Row],[pv_kWp]])</f>
        <v>52000</v>
      </c>
      <c r="N195" s="1"/>
      <c r="O195" s="1"/>
      <c r="P195" s="1">
        <f>0.4*80000</f>
        <v>32000</v>
      </c>
      <c r="Q195" s="3">
        <f>Table4[[#This Row],[total_cost_eur]]/Table4[[#This Row],[pv_kWp]]</f>
        <v>400</v>
      </c>
      <c r="R195" s="1"/>
      <c r="S195" s="1"/>
      <c r="T195" s="1">
        <v>80</v>
      </c>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row>
    <row r="196" spans="1:63" ht="16" thickBot="1" x14ac:dyDescent="0.25">
      <c r="A196" s="3">
        <v>196</v>
      </c>
      <c r="B196" s="25" t="s">
        <v>157</v>
      </c>
      <c r="C196" s="3" t="s">
        <v>543</v>
      </c>
      <c r="D196" s="1" t="s">
        <v>155</v>
      </c>
      <c r="E196" s="1"/>
      <c r="F196" s="1">
        <v>2022</v>
      </c>
      <c r="G196" s="1" t="s">
        <v>274</v>
      </c>
      <c r="H196" s="1" t="s">
        <v>50</v>
      </c>
      <c r="I196" s="27" t="s">
        <v>159</v>
      </c>
      <c r="J196" s="113">
        <f>Table4[[#This Row],[total_cost_npr]]*(1/'Calculations &amp; Assumptions'!$C$6)</f>
        <v>22517.321016166279</v>
      </c>
      <c r="K196" s="113">
        <f>Table4[[#This Row],[system_cost_npr_per_kwp]]*(1/'Calculations &amp; Assumptions'!$C$6)</f>
        <v>450.34642032332562</v>
      </c>
      <c r="L196" s="23">
        <f>IF(Table4[[#This Row],[total_cost_inr]]&gt;0, Table4[[#This Row],[total_cost_inr]]*'Calculations &amp; Assumptions'!$C$7,IF(Table4[[#This Row],[total_cost_eur]]&gt;0,Table4[[#This Row],[total_cost_eur]]*'Calculations &amp; Assumptions'!$C$5,0))</f>
        <v>2925000</v>
      </c>
      <c r="M196" s="77">
        <f>IF(H196="smartmeter_1ph",Table4[[#This Row],[total_cost_npr]],Table4[[#This Row],[total_cost_npr]]/Table4[[#This Row],[pv_kWp]])</f>
        <v>58500</v>
      </c>
      <c r="N196" s="1"/>
      <c r="O196" s="1"/>
      <c r="P196" s="1">
        <f>0.45*50000</f>
        <v>22500</v>
      </c>
      <c r="Q196" s="3">
        <f>Table4[[#This Row],[total_cost_eur]]/Table4[[#This Row],[pv_kWp]]</f>
        <v>450</v>
      </c>
      <c r="R196" s="1"/>
      <c r="S196" s="1"/>
      <c r="T196" s="1">
        <v>50</v>
      </c>
      <c r="U196" s="1"/>
      <c r="V196" s="1"/>
      <c r="W196" s="1"/>
      <c r="X196" s="1"/>
      <c r="Y196" s="84"/>
      <c r="Z196" s="84"/>
      <c r="AA196" s="84"/>
      <c r="AB196" s="84"/>
      <c r="AC196" s="84"/>
      <c r="AD196" s="84"/>
      <c r="AE196" s="84"/>
      <c r="AF196" s="84"/>
      <c r="AG196" s="84"/>
      <c r="AH196" s="84"/>
      <c r="AI196" s="84"/>
      <c r="AJ196" s="84"/>
      <c r="AK196" s="84"/>
      <c r="AL196" s="84"/>
      <c r="AM196" s="84"/>
      <c r="AN196" s="84"/>
      <c r="AO196" s="1"/>
      <c r="AP196" s="1"/>
      <c r="AQ196" s="1"/>
      <c r="AR196" s="1"/>
      <c r="AS196" s="1"/>
      <c r="AT196" s="1"/>
      <c r="AU196" s="1"/>
      <c r="AV196" s="1"/>
      <c r="AW196" s="1"/>
      <c r="AX196" s="1"/>
      <c r="AY196" s="1"/>
      <c r="AZ196" s="1"/>
      <c r="BA196" s="1"/>
      <c r="BB196" s="1"/>
      <c r="BC196" s="1"/>
      <c r="BD196" s="1"/>
      <c r="BE196" s="1"/>
      <c r="BF196" s="1"/>
      <c r="BG196" s="1"/>
      <c r="BH196" s="1"/>
      <c r="BI196" s="1"/>
      <c r="BJ196" s="1"/>
      <c r="BK196" s="1"/>
    </row>
    <row r="197" spans="1:63" ht="16" thickBot="1" x14ac:dyDescent="0.25">
      <c r="A197" s="3">
        <v>197</v>
      </c>
      <c r="B197" s="3" t="s">
        <v>39</v>
      </c>
      <c r="C197" s="3" t="s">
        <v>543</v>
      </c>
      <c r="D197" s="3" t="s">
        <v>40</v>
      </c>
      <c r="E197" s="3"/>
      <c r="F197" s="3">
        <v>2022</v>
      </c>
      <c r="G197" s="1" t="s">
        <v>274</v>
      </c>
      <c r="H197" s="1" t="s">
        <v>49</v>
      </c>
      <c r="I197" s="1"/>
      <c r="J197" s="113">
        <f>Table4[[#This Row],[total_cost_npr]]*(1/'Calculations &amp; Assumptions'!$C$6)</f>
        <v>7896.5234795996912</v>
      </c>
      <c r="K197" s="113">
        <f>Table4[[#This Row],[system_cost_npr_per_kwp]]*(1/'Calculations &amp; Assumptions'!$C$6)</f>
        <v>789.65234795996912</v>
      </c>
      <c r="L197" s="23">
        <f>IF(Table4[[#This Row],[total_cost_inr]]&gt;0, Table4[[#This Row],[total_cost_inr]]*'Calculations &amp; Assumptions'!$C$7,IF(Table4[[#This Row],[total_cost_eur]]&gt;0,Table4[[#This Row],[total_cost_eur]]*'Calculations &amp; Assumptions'!$C$5,0))</f>
        <v>1025758.4</v>
      </c>
      <c r="M197" s="77">
        <f>IF(H197="smartmeter_1ph",Table4[[#This Row],[total_cost_npr]],Table4[[#This Row],[total_cost_npr]]/Table4[[#This Row],[pv_kWp]])</f>
        <v>102575.84</v>
      </c>
      <c r="N197" s="1">
        <v>641099</v>
      </c>
      <c r="O197" s="1">
        <f>Table4[[#This Row],[total_cost_inr]]/Table4[[#This Row],[pv_kWp]]</f>
        <v>64109.9</v>
      </c>
      <c r="P197" s="1"/>
      <c r="Q197" s="3"/>
      <c r="R197" s="1"/>
      <c r="S197" s="1"/>
      <c r="T197" s="1">
        <v>10</v>
      </c>
      <c r="U197" s="1"/>
      <c r="V197" s="1"/>
      <c r="W197" s="1" t="s">
        <v>43</v>
      </c>
      <c r="X197" s="1"/>
      <c r="Y197" s="1"/>
      <c r="Z197" s="1">
        <v>10</v>
      </c>
      <c r="AA197" s="1"/>
      <c r="AB197" s="1"/>
      <c r="AC197" s="1"/>
      <c r="AD197" s="1">
        <f>10*12*150/1000</f>
        <v>18</v>
      </c>
      <c r="AE197" s="1"/>
      <c r="AF197" s="6"/>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row>
    <row r="198" spans="1:63" ht="16" thickBot="1" x14ac:dyDescent="0.25">
      <c r="A198" s="3">
        <v>198</v>
      </c>
      <c r="B198" s="3" t="s">
        <v>39</v>
      </c>
      <c r="C198" s="3" t="s">
        <v>543</v>
      </c>
      <c r="D198" s="3" t="s">
        <v>40</v>
      </c>
      <c r="E198" s="3"/>
      <c r="F198" s="3">
        <v>2022</v>
      </c>
      <c r="G198" s="1" t="s">
        <v>274</v>
      </c>
      <c r="H198" s="1" t="s">
        <v>50</v>
      </c>
      <c r="I198" s="1"/>
      <c r="J198" s="113">
        <f>Table4[[#This Row],[total_cost_npr]]*(1/'Calculations &amp; Assumptions'!$C$6)</f>
        <v>5388.5142417244033</v>
      </c>
      <c r="K198" s="113">
        <f>Table4[[#This Row],[system_cost_npr_per_kwp]]*(1/'Calculations &amp; Assumptions'!$C$6)</f>
        <v>538.85142417244026</v>
      </c>
      <c r="L198" s="23">
        <f>IF(Table4[[#This Row],[total_cost_inr]]&gt;0, Table4[[#This Row],[total_cost_inr]]*'Calculations &amp; Assumptions'!$C$7,IF(Table4[[#This Row],[total_cost_eur]]&gt;0,Table4[[#This Row],[total_cost_eur]]*'Calculations &amp; Assumptions'!$C$5,0))</f>
        <v>699968</v>
      </c>
      <c r="M198" s="77">
        <f>IF(H198="smartmeter_1ph",Table4[[#This Row],[total_cost_npr]],Table4[[#This Row],[total_cost_npr]]/Table4[[#This Row],[pv_kWp]])</f>
        <v>69996.800000000003</v>
      </c>
      <c r="N198" s="1">
        <v>437480</v>
      </c>
      <c r="O198" s="1">
        <f>Table4[[#This Row],[total_cost_inr]]/Table4[[#This Row],[pv_kWp]]</f>
        <v>43748</v>
      </c>
      <c r="P198" s="1"/>
      <c r="Q198" s="3"/>
      <c r="R198" s="1"/>
      <c r="S198" s="1"/>
      <c r="T198" s="1">
        <v>10</v>
      </c>
      <c r="U198" s="1"/>
      <c r="V198" s="1"/>
      <c r="W198" s="1" t="s">
        <v>43</v>
      </c>
      <c r="X198" s="1"/>
      <c r="Y198" s="1"/>
      <c r="Z198" s="1"/>
      <c r="AA198" s="1"/>
      <c r="AB198" s="1"/>
      <c r="AC198" s="1"/>
      <c r="AD198" s="1"/>
      <c r="AE198" s="1"/>
      <c r="AF198" s="6"/>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row>
    <row r="199" spans="1:63" ht="16" thickBot="1" x14ac:dyDescent="0.25">
      <c r="A199" s="3">
        <v>199</v>
      </c>
      <c r="B199" s="3" t="s">
        <v>39</v>
      </c>
      <c r="C199" s="3" t="s">
        <v>543</v>
      </c>
      <c r="D199" s="3" t="s">
        <v>40</v>
      </c>
      <c r="E199" s="1"/>
      <c r="F199" s="3">
        <v>2022</v>
      </c>
      <c r="G199" s="1" t="s">
        <v>274</v>
      </c>
      <c r="H199" s="1" t="s">
        <v>49</v>
      </c>
      <c r="I199" s="1"/>
      <c r="J199" s="113">
        <f>Table4[[#This Row],[total_cost_npr]]*(1/'Calculations &amp; Assumptions'!$C$6)</f>
        <v>8686.3864511162428</v>
      </c>
      <c r="K199" s="113">
        <f>Table4[[#This Row],[system_cost_npr_per_kwp]]*(1/'Calculations &amp; Assumptions'!$C$6)</f>
        <v>868.63864511162433</v>
      </c>
      <c r="L199" s="23">
        <f>IF(Table4[[#This Row],[total_cost_inr]]&gt;0, Table4[[#This Row],[total_cost_inr]]*'Calculations &amp; Assumptions'!$C$7,IF(Table4[[#This Row],[total_cost_eur]]&gt;0,Table4[[#This Row],[total_cost_eur]]*'Calculations &amp; Assumptions'!$C$5,0))</f>
        <v>1128361.6000000001</v>
      </c>
      <c r="M199" s="77">
        <f>IF(H199="smartmeter_1ph",Table4[[#This Row],[total_cost_npr]],Table4[[#This Row],[total_cost_npr]]/Table4[[#This Row],[pv_kWp]])</f>
        <v>112836.16</v>
      </c>
      <c r="N199" s="1">
        <v>705226</v>
      </c>
      <c r="O199" s="1">
        <f>Table4[[#This Row],[total_cost_inr]]/Table4[[#This Row],[pv_kWp]]</f>
        <v>70522.600000000006</v>
      </c>
      <c r="P199" s="1"/>
      <c r="Q199" s="3"/>
      <c r="R199" s="1"/>
      <c r="S199" s="1"/>
      <c r="T199" s="1">
        <v>10</v>
      </c>
      <c r="U199" s="1"/>
      <c r="V199" s="1"/>
      <c r="W199" s="1" t="s">
        <v>43</v>
      </c>
      <c r="X199" s="1"/>
      <c r="Y199" s="1"/>
      <c r="Z199" s="1">
        <v>10</v>
      </c>
      <c r="AA199" s="1"/>
      <c r="AB199" s="1"/>
      <c r="AC199" s="1"/>
      <c r="AD199" s="1">
        <f>150/1000*12*10</f>
        <v>18</v>
      </c>
      <c r="AE199" s="1"/>
      <c r="AF199" s="6"/>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row>
    <row r="200" spans="1:63" ht="16" thickBot="1" x14ac:dyDescent="0.25">
      <c r="A200" s="3">
        <v>200</v>
      </c>
      <c r="B200" s="25" t="s">
        <v>157</v>
      </c>
      <c r="C200" s="3" t="s">
        <v>543</v>
      </c>
      <c r="D200" s="3" t="s">
        <v>155</v>
      </c>
      <c r="E200" s="1"/>
      <c r="F200" s="3">
        <v>2022</v>
      </c>
      <c r="G200" s="1" t="s">
        <v>274</v>
      </c>
      <c r="H200" s="1" t="s">
        <v>49</v>
      </c>
      <c r="I200" s="27" t="s">
        <v>158</v>
      </c>
      <c r="J200" s="113">
        <f>Table4[[#This Row],[total_cost_npr]]*(1/'Calculations &amp; Assumptions'!$C$6)</f>
        <v>9006.9284064665117</v>
      </c>
      <c r="K200" s="113">
        <f>Table4[[#This Row],[system_cost_npr_per_kwp]]*(1/'Calculations &amp; Assumptions'!$C$6)</f>
        <v>900.69284064665123</v>
      </c>
      <c r="L200" s="23">
        <f>IF(Table4[[#This Row],[total_cost_inr]]&gt;0, Table4[[#This Row],[total_cost_inr]]*'Calculations &amp; Assumptions'!$C$7,IF(Table4[[#This Row],[total_cost_eur]]&gt;0,Table4[[#This Row],[total_cost_eur]]*'Calculations &amp; Assumptions'!$C$5,0))</f>
        <v>1170000</v>
      </c>
      <c r="M200" s="77">
        <f>IF(H200="smartmeter_1ph",Table4[[#This Row],[total_cost_npr]],Table4[[#This Row],[total_cost_npr]]/Table4[[#This Row],[pv_kWp]])</f>
        <v>117000</v>
      </c>
      <c r="N200" s="1"/>
      <c r="O200" s="1"/>
      <c r="P200" s="1">
        <f>Table4[[#This Row],[system_cost_eur_per_kw]]*Table4[[#This Row],[pv_kWp]]</f>
        <v>9000</v>
      </c>
      <c r="Q200" s="3">
        <v>900</v>
      </c>
      <c r="R200" s="1"/>
      <c r="S200" s="1"/>
      <c r="T200" s="1">
        <v>10</v>
      </c>
      <c r="U200" s="1"/>
      <c r="V200" s="1"/>
      <c r="W200" s="1"/>
      <c r="X200" s="1"/>
      <c r="Y200" s="1"/>
      <c r="Z200" s="1"/>
      <c r="AA200" s="1"/>
      <c r="AB200" s="1"/>
      <c r="AC200" s="1"/>
      <c r="AD200" s="1"/>
      <c r="AE200" s="1">
        <v>48</v>
      </c>
      <c r="AF200" s="6"/>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row>
    <row r="201" spans="1:63" ht="30" thickBot="1" x14ac:dyDescent="0.25">
      <c r="A201" s="3">
        <v>201</v>
      </c>
      <c r="B201" s="3" t="s">
        <v>427</v>
      </c>
      <c r="C201" s="3" t="s">
        <v>543</v>
      </c>
      <c r="D201" s="3" t="s">
        <v>155</v>
      </c>
      <c r="E201" s="1"/>
      <c r="F201" s="3">
        <v>2022</v>
      </c>
      <c r="G201" s="1" t="s">
        <v>274</v>
      </c>
      <c r="H201" s="1" t="s">
        <v>50</v>
      </c>
      <c r="I201" s="1"/>
      <c r="J201" s="113">
        <f>Table4[[#This Row],[total_cost_npr]]*(1/'Calculations &amp; Assumptions'!$C$6)</f>
        <v>4553.5026943802923</v>
      </c>
      <c r="K201" s="113">
        <f>Table4[[#This Row],[system_cost_npr_per_kwp]]*(1/'Calculations &amp; Assumptions'!$C$6)</f>
        <v>455.35026943802922</v>
      </c>
      <c r="L201" s="23">
        <f>IF(Table4[[#This Row],[total_cost_inr]]&gt;0, Table4[[#This Row],[total_cost_inr]]*'Calculations &amp; Assumptions'!$C$7,IF(Table4[[#This Row],[total_cost_eur]]&gt;0,Table4[[#This Row],[total_cost_eur]]*'Calculations &amp; Assumptions'!$C$5,0))</f>
        <v>591500</v>
      </c>
      <c r="M201" s="77">
        <f>IF(H201="smartmeter_1ph",Table4[[#This Row],[total_cost_npr]],Table4[[#This Row],[total_cost_npr]]/Table4[[#This Row],[pv_kWp]])</f>
        <v>59150</v>
      </c>
      <c r="N201" s="1"/>
      <c r="O201" s="1"/>
      <c r="P201" s="1">
        <v>4550</v>
      </c>
      <c r="Q201" s="3">
        <f>Table4[[#This Row],[total_cost_eur]]/Table4[[#This Row],[pv_kWp]]</f>
        <v>455</v>
      </c>
      <c r="R201" s="1"/>
      <c r="S201" s="1"/>
      <c r="T201" s="1">
        <v>10</v>
      </c>
      <c r="U201" s="1"/>
      <c r="V201" s="1"/>
      <c r="W201" s="1"/>
      <c r="X201" s="1"/>
      <c r="Y201" s="1"/>
      <c r="Z201" s="1"/>
      <c r="AA201" s="1"/>
      <c r="AB201" s="1"/>
      <c r="AC201" s="1"/>
      <c r="AD201" s="1"/>
      <c r="AE201" s="1"/>
      <c r="AF201" s="6"/>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row>
    <row r="202" spans="1:63" ht="30" thickBot="1" x14ac:dyDescent="0.25">
      <c r="A202" s="3">
        <v>202</v>
      </c>
      <c r="B202" s="3" t="s">
        <v>427</v>
      </c>
      <c r="C202" s="3" t="s">
        <v>543</v>
      </c>
      <c r="D202" s="3" t="s">
        <v>155</v>
      </c>
      <c r="E202" s="1"/>
      <c r="F202" s="3">
        <v>2022</v>
      </c>
      <c r="G202" s="1" t="s">
        <v>274</v>
      </c>
      <c r="H202" s="1" t="s">
        <v>49</v>
      </c>
      <c r="I202" s="1"/>
      <c r="J202" s="113">
        <f>Table4[[#This Row],[total_cost_npr]]*(1/'Calculations &amp; Assumptions'!$C$6)</f>
        <v>5594.3033102386444</v>
      </c>
      <c r="K202" s="113">
        <f>Table4[[#This Row],[system_cost_npr_per_kwp]]*(1/'Calculations &amp; Assumptions'!$C$6)</f>
        <v>559.43033102386448</v>
      </c>
      <c r="L202" s="23">
        <f>IF(Table4[[#This Row],[total_cost_inr]]&gt;0, Table4[[#This Row],[total_cost_inr]]*'Calculations &amp; Assumptions'!$C$7,IF(Table4[[#This Row],[total_cost_eur]]&gt;0,Table4[[#This Row],[total_cost_eur]]*'Calculations &amp; Assumptions'!$C$5,0))</f>
        <v>726700</v>
      </c>
      <c r="M202" s="77">
        <f>IF(H202="smartmeter_1ph",Table4[[#This Row],[total_cost_npr]],Table4[[#This Row],[total_cost_npr]]/Table4[[#This Row],[pv_kWp]])</f>
        <v>72670</v>
      </c>
      <c r="N202" s="1"/>
      <c r="O202" s="1"/>
      <c r="P202" s="1">
        <v>5590</v>
      </c>
      <c r="Q202" s="3">
        <f>Table4[[#This Row],[total_cost_eur]]/Table4[[#This Row],[pv_kWp]]</f>
        <v>559</v>
      </c>
      <c r="R202" s="1"/>
      <c r="S202" s="1"/>
      <c r="T202" s="1">
        <v>10</v>
      </c>
      <c r="U202" s="1"/>
      <c r="V202" s="1"/>
      <c r="W202" s="1"/>
      <c r="X202" s="1"/>
      <c r="Y202" s="1"/>
      <c r="Z202" s="1"/>
      <c r="AA202" s="1"/>
      <c r="AB202" s="1"/>
      <c r="AC202" s="1"/>
      <c r="AD202" s="1"/>
      <c r="AE202" s="1"/>
      <c r="AF202" s="6"/>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row>
    <row r="203" spans="1:63" ht="30" thickBot="1" x14ac:dyDescent="0.25">
      <c r="A203" s="3">
        <v>203</v>
      </c>
      <c r="B203" s="3" t="s">
        <v>427</v>
      </c>
      <c r="C203" s="3" t="s">
        <v>543</v>
      </c>
      <c r="D203" s="3" t="s">
        <v>155</v>
      </c>
      <c r="E203" s="1"/>
      <c r="F203" s="3">
        <v>2022</v>
      </c>
      <c r="G203" s="1" t="s">
        <v>274</v>
      </c>
      <c r="H203" s="1" t="s">
        <v>49</v>
      </c>
      <c r="I203" s="1"/>
      <c r="J203" s="113">
        <f>Table4[[#This Row],[total_cost_npr]]*(1/'Calculations &amp; Assumptions'!$C$6)</f>
        <v>7125.4811393379514</v>
      </c>
      <c r="K203" s="113">
        <f>Table4[[#This Row],[system_cost_npr_per_kwp]]*(1/'Calculations &amp; Assumptions'!$C$6)</f>
        <v>890.68514241724392</v>
      </c>
      <c r="L203" s="23">
        <f>IF(Table4[[#This Row],[total_cost_inr]]&gt;0, Table4[[#This Row],[total_cost_inr]]*'Calculations &amp; Assumptions'!$C$7,IF(Table4[[#This Row],[total_cost_eur]]&gt;0,Table4[[#This Row],[total_cost_eur]]*'Calculations &amp; Assumptions'!$C$5,0))</f>
        <v>925600</v>
      </c>
      <c r="M203" s="77">
        <f>IF(H203="smartmeter_1ph",Table4[[#This Row],[total_cost_npr]],Table4[[#This Row],[total_cost_npr]]/Table4[[#This Row],[pv_kWp]])</f>
        <v>115700</v>
      </c>
      <c r="N203" s="1"/>
      <c r="O203" s="1"/>
      <c r="P203" s="1">
        <v>7120</v>
      </c>
      <c r="Q203" s="3">
        <f>Table4[[#This Row],[total_cost_eur]]/Table4[[#This Row],[pv_kWp]]</f>
        <v>890</v>
      </c>
      <c r="R203" s="1"/>
      <c r="S203" s="1"/>
      <c r="T203" s="1">
        <v>8</v>
      </c>
      <c r="U203" s="1"/>
      <c r="V203" s="1"/>
      <c r="W203" s="1"/>
      <c r="X203" s="1"/>
      <c r="Y203" s="1"/>
      <c r="Z203" s="1"/>
      <c r="AA203" s="1"/>
      <c r="AB203" s="1"/>
      <c r="AC203" s="1"/>
      <c r="AD203" s="1"/>
      <c r="AE203" s="1"/>
      <c r="AF203" s="6"/>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row>
    <row r="204" spans="1:63" ht="16" thickBot="1" x14ac:dyDescent="0.25">
      <c r="A204" s="3">
        <v>204</v>
      </c>
      <c r="B204" s="3" t="s">
        <v>39</v>
      </c>
      <c r="C204" s="3" t="s">
        <v>543</v>
      </c>
      <c r="D204" s="3" t="s">
        <v>40</v>
      </c>
      <c r="E204" s="1"/>
      <c r="F204" s="3">
        <v>2022</v>
      </c>
      <c r="G204" s="1" t="s">
        <v>274</v>
      </c>
      <c r="H204" s="1" t="s">
        <v>50</v>
      </c>
      <c r="I204" s="1"/>
      <c r="J204" s="113">
        <f>Table4[[#This Row],[total_cost_npr]]*(1/'Calculations &amp; Assumptions'!$C$6)</f>
        <v>2860.8344880677441</v>
      </c>
      <c r="K204" s="113">
        <f>Table4[[#This Row],[system_cost_npr_per_kwp]]*(1/'Calculations &amp; Assumptions'!$C$6)</f>
        <v>572.16689761354894</v>
      </c>
      <c r="L204" s="23">
        <f>IF(Table4[[#This Row],[total_cost_inr]]&gt;0, Table4[[#This Row],[total_cost_inr]]*'Calculations &amp; Assumptions'!$C$7,IF(Table4[[#This Row],[total_cost_eur]]&gt;0,Table4[[#This Row],[total_cost_eur]]*'Calculations &amp; Assumptions'!$C$5,0))</f>
        <v>371622.40000000002</v>
      </c>
      <c r="M204" s="77">
        <f>IF(H204="smartmeter_1ph",Table4[[#This Row],[total_cost_npr]],Table4[[#This Row],[total_cost_npr]]/Table4[[#This Row],[pv_kWp]])</f>
        <v>74324.48000000001</v>
      </c>
      <c r="N204" s="1">
        <v>232264</v>
      </c>
      <c r="O204" s="1">
        <f>Table4[[#This Row],[total_cost_inr]]/Table4[[#This Row],[pv_kWp]]</f>
        <v>46452.800000000003</v>
      </c>
      <c r="P204" s="1"/>
      <c r="Q204" s="3"/>
      <c r="R204" s="1"/>
      <c r="S204" s="1"/>
      <c r="T204" s="1">
        <v>5</v>
      </c>
      <c r="U204" s="1"/>
      <c r="V204" s="1"/>
      <c r="W204" s="1" t="s">
        <v>43</v>
      </c>
      <c r="X204" s="1"/>
      <c r="Y204" s="1"/>
      <c r="Z204" s="1"/>
      <c r="AA204" s="1"/>
      <c r="AB204" s="1"/>
      <c r="AC204" s="1"/>
      <c r="AD204" s="1"/>
      <c r="AE204" s="1"/>
      <c r="AF204" s="6"/>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row>
    <row r="205" spans="1:63" ht="17" thickBot="1" x14ac:dyDescent="0.25">
      <c r="A205" s="3">
        <v>205</v>
      </c>
      <c r="B205" s="24" t="s">
        <v>39</v>
      </c>
      <c r="C205" s="3" t="s">
        <v>543</v>
      </c>
      <c r="D205" s="3" t="s">
        <v>40</v>
      </c>
      <c r="E205" s="1"/>
      <c r="F205" s="3">
        <v>2022</v>
      </c>
      <c r="G205" s="1" t="s">
        <v>274</v>
      </c>
      <c r="H205" s="1" t="s">
        <v>49</v>
      </c>
      <c r="I205" s="1"/>
      <c r="J205" s="113">
        <f>Table4[[#This Row],[total_cost_npr]]*(1/'Calculations &amp; Assumptions'!$C$6)</f>
        <v>4729.6689761354883</v>
      </c>
      <c r="K205" s="113">
        <f>Table4[[#This Row],[system_cost_npr_per_kwp]]*(1/'Calculations &amp; Assumptions'!$C$6)</f>
        <v>945.93379522709768</v>
      </c>
      <c r="L205" s="23">
        <f>IF(Table4[[#This Row],[total_cost_inr]]&gt;0, Table4[[#This Row],[total_cost_inr]]*'Calculations &amp; Assumptions'!$C$7,IF(Table4[[#This Row],[total_cost_eur]]&gt;0,Table4[[#This Row],[total_cost_eur]]*'Calculations &amp; Assumptions'!$C$5,0))</f>
        <v>614384</v>
      </c>
      <c r="M205" s="77">
        <f>IF(H205="smartmeter_1ph",Table4[[#This Row],[total_cost_npr]],Table4[[#This Row],[total_cost_npr]]/Table4[[#This Row],[pv_kWp]])</f>
        <v>122876.8</v>
      </c>
      <c r="N205" s="1">
        <v>383990</v>
      </c>
      <c r="O205" s="1">
        <f>Table4[[#This Row],[total_cost_inr]]/Table4[[#This Row],[pv_kWp]]</f>
        <v>76798</v>
      </c>
      <c r="P205" s="1"/>
      <c r="Q205" s="3"/>
      <c r="R205" s="1"/>
      <c r="S205" s="1"/>
      <c r="T205" s="1">
        <v>5</v>
      </c>
      <c r="U205" s="1"/>
      <c r="V205" s="1"/>
      <c r="W205" s="1" t="s">
        <v>43</v>
      </c>
      <c r="X205" s="1"/>
      <c r="Y205" s="1"/>
      <c r="Z205" s="1">
        <v>5</v>
      </c>
      <c r="AA205" s="1"/>
      <c r="AB205" s="1"/>
      <c r="AC205" s="1"/>
      <c r="AD205" s="1">
        <f>150/1000*12*8</f>
        <v>14.399999999999999</v>
      </c>
      <c r="AE205" s="1"/>
      <c r="AF205" s="6"/>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row>
    <row r="206" spans="1:63" ht="16" thickBot="1" x14ac:dyDescent="0.25">
      <c r="A206" s="3">
        <v>206</v>
      </c>
      <c r="B206" s="25" t="s">
        <v>157</v>
      </c>
      <c r="C206" s="3" t="s">
        <v>543</v>
      </c>
      <c r="D206" s="3" t="s">
        <v>155</v>
      </c>
      <c r="E206" s="1"/>
      <c r="F206" s="3">
        <v>2022</v>
      </c>
      <c r="G206" s="1" t="s">
        <v>274</v>
      </c>
      <c r="H206" s="1" t="s">
        <v>49</v>
      </c>
      <c r="I206" s="27" t="s">
        <v>158</v>
      </c>
      <c r="J206" s="113">
        <f>Table4[[#This Row],[total_cost_npr]]*(1/'Calculations &amp; Assumptions'!$C$6)</f>
        <v>6004.6189376443408</v>
      </c>
      <c r="K206" s="113">
        <f>Table4[[#This Row],[system_cost_npr_per_kwp]]*(1/'Calculations &amp; Assumptions'!$C$6)</f>
        <v>1200.9237875288682</v>
      </c>
      <c r="L206" s="23">
        <f>IF(Table4[[#This Row],[total_cost_inr]]&gt;0, Table4[[#This Row],[total_cost_inr]]*'Calculations &amp; Assumptions'!$C$7,IF(Table4[[#This Row],[total_cost_eur]]&gt;0,Table4[[#This Row],[total_cost_eur]]*'Calculations &amp; Assumptions'!$C$5,0))</f>
        <v>780000</v>
      </c>
      <c r="M206" s="77">
        <f>IF(H206="smartmeter_1ph",Table4[[#This Row],[total_cost_npr]],Table4[[#This Row],[total_cost_npr]]/Table4[[#This Row],[pv_kWp]])</f>
        <v>156000</v>
      </c>
      <c r="N206" s="1"/>
      <c r="O206" s="1"/>
      <c r="P206" s="1">
        <f>Table4[[#This Row],[system_cost_eur_per_kw]]*Table4[[#This Row],[pv_kWp]]</f>
        <v>6000</v>
      </c>
      <c r="Q206" s="3">
        <v>1200</v>
      </c>
      <c r="R206" s="1"/>
      <c r="S206" s="1"/>
      <c r="T206" s="1">
        <v>5</v>
      </c>
      <c r="U206" s="1"/>
      <c r="V206" s="1"/>
      <c r="W206" s="1"/>
      <c r="X206" s="1"/>
      <c r="Y206" s="1"/>
      <c r="Z206" s="1"/>
      <c r="AA206" s="1"/>
      <c r="AB206" s="1"/>
      <c r="AC206" s="1"/>
      <c r="AD206" s="1"/>
      <c r="AE206" s="1">
        <v>24</v>
      </c>
      <c r="AF206" s="6"/>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row>
    <row r="207" spans="1:63" ht="30" thickBot="1" x14ac:dyDescent="0.25">
      <c r="A207" s="3">
        <v>207</v>
      </c>
      <c r="B207" s="3" t="s">
        <v>427</v>
      </c>
      <c r="C207" s="3" t="s">
        <v>543</v>
      </c>
      <c r="D207" s="3" t="s">
        <v>155</v>
      </c>
      <c r="E207" s="1"/>
      <c r="F207" s="3">
        <v>2022</v>
      </c>
      <c r="G207" s="1" t="s">
        <v>274</v>
      </c>
      <c r="H207" s="1" t="s">
        <v>49</v>
      </c>
      <c r="I207" s="1"/>
      <c r="J207" s="113">
        <f>Table4[[#This Row],[total_cost_npr]]*(1/'Calculations &amp; Assumptions'!$C$6)</f>
        <v>4633.5642802155498</v>
      </c>
      <c r="K207" s="113">
        <f>Table4[[#This Row],[system_cost_npr_per_kwp]]*(1/'Calculations &amp; Assumptions'!$C$6)</f>
        <v>926.71285604311004</v>
      </c>
      <c r="L207" s="23">
        <f>IF(Table4[[#This Row],[total_cost_inr]]&gt;0, Table4[[#This Row],[total_cost_inr]]*'Calculations &amp; Assumptions'!$C$7,IF(Table4[[#This Row],[total_cost_eur]]&gt;0,Table4[[#This Row],[total_cost_eur]]*'Calculations &amp; Assumptions'!$C$5,0))</f>
        <v>601900</v>
      </c>
      <c r="M207" s="77">
        <f>IF(H207="smartmeter_1ph",Table4[[#This Row],[total_cost_npr]],Table4[[#This Row],[total_cost_npr]]/Table4[[#This Row],[pv_kWp]])</f>
        <v>120380</v>
      </c>
      <c r="N207" s="1"/>
      <c r="O207" s="1"/>
      <c r="P207" s="1">
        <v>4630</v>
      </c>
      <c r="Q207" s="3">
        <f>Table4[[#This Row],[total_cost_eur]]/Table4[[#This Row],[pv_kWp]]</f>
        <v>926</v>
      </c>
      <c r="R207" s="1"/>
      <c r="S207" s="1"/>
      <c r="T207" s="1">
        <v>5</v>
      </c>
      <c r="U207" s="1"/>
      <c r="V207" s="1"/>
      <c r="W207" s="1"/>
      <c r="X207" s="1"/>
      <c r="Y207" s="1"/>
      <c r="Z207" s="1"/>
      <c r="AA207" s="1"/>
      <c r="AB207" s="1"/>
      <c r="AC207" s="1"/>
      <c r="AD207" s="1"/>
      <c r="AE207" s="1"/>
      <c r="AF207" s="6"/>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row>
    <row r="208" spans="1:63" ht="30" thickBot="1" x14ac:dyDescent="0.25">
      <c r="A208" s="3">
        <v>208</v>
      </c>
      <c r="B208" s="3" t="s">
        <v>427</v>
      </c>
      <c r="C208" s="3" t="s">
        <v>543</v>
      </c>
      <c r="D208" s="3" t="s">
        <v>155</v>
      </c>
      <c r="E208" s="1"/>
      <c r="F208" s="3">
        <v>2022</v>
      </c>
      <c r="G208" s="1" t="s">
        <v>274</v>
      </c>
      <c r="H208" s="1" t="s">
        <v>49</v>
      </c>
      <c r="I208" s="1"/>
      <c r="J208" s="113">
        <f>Table4[[#This Row],[total_cost_npr]]*(1/'Calculations &amp; Assumptions'!$C$6)</f>
        <v>5043.8799076212463</v>
      </c>
      <c r="K208" s="113">
        <f>Table4[[#This Row],[system_cost_npr_per_kwp]]*(1/'Calculations &amp; Assumptions'!$C$6)</f>
        <v>1050.8083140877598</v>
      </c>
      <c r="L208" s="23">
        <f>IF(Table4[[#This Row],[total_cost_inr]]&gt;0, Table4[[#This Row],[total_cost_inr]]*'Calculations &amp; Assumptions'!$C$7,IF(Table4[[#This Row],[total_cost_eur]]&gt;0,Table4[[#This Row],[total_cost_eur]]*'Calculations &amp; Assumptions'!$C$5,0))</f>
        <v>655200</v>
      </c>
      <c r="M208" s="77">
        <f>IF(H208="smartmeter_1ph",Table4[[#This Row],[total_cost_npr]],Table4[[#This Row],[total_cost_npr]]/Table4[[#This Row],[pv_kWp]])</f>
        <v>136500</v>
      </c>
      <c r="N208" s="1"/>
      <c r="O208" s="1"/>
      <c r="P208" s="1">
        <v>5040</v>
      </c>
      <c r="Q208" s="3">
        <f>Table4[[#This Row],[total_cost_eur]]/Table4[[#This Row],[pv_kWp]]</f>
        <v>1050</v>
      </c>
      <c r="R208" s="1"/>
      <c r="S208" s="1"/>
      <c r="T208" s="1">
        <v>4.8</v>
      </c>
      <c r="U208" s="1"/>
      <c r="V208" s="1"/>
      <c r="W208" s="1"/>
      <c r="X208" s="1"/>
      <c r="Y208" s="1"/>
      <c r="Z208" s="1"/>
      <c r="AA208" s="1"/>
      <c r="AB208" s="1"/>
      <c r="AC208" s="1"/>
      <c r="AD208" s="1"/>
      <c r="AE208" s="1"/>
      <c r="AF208" s="6"/>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row>
    <row r="209" spans="1:63" ht="16" thickBot="1" x14ac:dyDescent="0.25">
      <c r="A209" s="3">
        <v>209</v>
      </c>
      <c r="B209" s="3" t="s">
        <v>39</v>
      </c>
      <c r="C209" s="3" t="s">
        <v>543</v>
      </c>
      <c r="D209" s="3" t="s">
        <v>40</v>
      </c>
      <c r="E209" s="1"/>
      <c r="F209" s="3">
        <v>2022</v>
      </c>
      <c r="G209" s="1" t="s">
        <v>274</v>
      </c>
      <c r="H209" s="1" t="s">
        <v>49</v>
      </c>
      <c r="I209" s="1"/>
      <c r="J209" s="113">
        <f>Table4[[#This Row],[total_cost_npr]]*(1/'Calculations &amp; Assumptions'!$C$6)</f>
        <v>2555.799846035412</v>
      </c>
      <c r="K209" s="113">
        <f>Table4[[#This Row],[system_cost_npr_per_kwp]]*(1/'Calculations &amp; Assumptions'!$C$6)</f>
        <v>851.93328201180395</v>
      </c>
      <c r="L209" s="23">
        <f>IF(Table4[[#This Row],[total_cost_inr]]&gt;0, Table4[[#This Row],[total_cost_inr]]*'Calculations &amp; Assumptions'!$C$7,IF(Table4[[#This Row],[total_cost_eur]]&gt;0,Table4[[#This Row],[total_cost_eur]]*'Calculations &amp; Assumptions'!$C$5,0))</f>
        <v>331998.40000000002</v>
      </c>
      <c r="M209" s="77">
        <f>IF(H209="smartmeter_1ph",Table4[[#This Row],[total_cost_npr]],Table4[[#This Row],[total_cost_npr]]/Table4[[#This Row],[pv_kWp]])</f>
        <v>110666.13333333335</v>
      </c>
      <c r="N209" s="1">
        <v>207499</v>
      </c>
      <c r="O209" s="1">
        <f>Table4[[#This Row],[total_cost_inr]]/Table4[[#This Row],[pv_kWp]]</f>
        <v>69166.333333333328</v>
      </c>
      <c r="P209" s="1"/>
      <c r="Q209" s="3"/>
      <c r="R209" s="1"/>
      <c r="S209" s="1"/>
      <c r="T209" s="1">
        <v>3</v>
      </c>
      <c r="U209" s="1"/>
      <c r="V209" s="1"/>
      <c r="W209" s="1" t="s">
        <v>43</v>
      </c>
      <c r="X209" s="1"/>
      <c r="Y209" s="1"/>
      <c r="Z209" s="1">
        <v>3</v>
      </c>
      <c r="AA209" s="1"/>
      <c r="AB209" s="1"/>
      <c r="AC209" s="1"/>
      <c r="AD209" s="1">
        <f>150*48/1000</f>
        <v>7.2</v>
      </c>
      <c r="AE209" s="1"/>
      <c r="AF209" s="6"/>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row>
    <row r="210" spans="1:63" ht="30" thickBot="1" x14ac:dyDescent="0.25">
      <c r="A210" s="3">
        <v>210</v>
      </c>
      <c r="B210" s="3" t="s">
        <v>427</v>
      </c>
      <c r="C210" s="3" t="s">
        <v>543</v>
      </c>
      <c r="D210" s="3" t="s">
        <v>155</v>
      </c>
      <c r="E210" s="1"/>
      <c r="F210" s="3">
        <v>2022</v>
      </c>
      <c r="G210" s="1" t="s">
        <v>274</v>
      </c>
      <c r="H210" s="1" t="s">
        <v>49</v>
      </c>
      <c r="I210" s="1"/>
      <c r="J210" s="113">
        <f>Table4[[#This Row],[total_cost_npr]]*(1/'Calculations &amp; Assumptions'!$C$6)</f>
        <v>2682.0631254811392</v>
      </c>
      <c r="K210" s="113">
        <f>Table4[[#This Row],[system_cost_npr_per_kwp]]*(1/'Calculations &amp; Assumptions'!$C$6)</f>
        <v>894.02104182704636</v>
      </c>
      <c r="L210" s="23">
        <f>IF(Table4[[#This Row],[total_cost_inr]]&gt;0, Table4[[#This Row],[total_cost_inr]]*'Calculations &amp; Assumptions'!$C$7,IF(Table4[[#This Row],[total_cost_eur]]&gt;0,Table4[[#This Row],[total_cost_eur]]*'Calculations &amp; Assumptions'!$C$5,0))</f>
        <v>348400</v>
      </c>
      <c r="M210" s="77">
        <f>IF(H210="smartmeter_1ph",Table4[[#This Row],[total_cost_npr]],Table4[[#This Row],[total_cost_npr]]/Table4[[#This Row],[pv_kWp]])</f>
        <v>116133.33333333333</v>
      </c>
      <c r="N210" s="1"/>
      <c r="O210" s="1"/>
      <c r="P210" s="1">
        <v>2680</v>
      </c>
      <c r="Q210" s="3">
        <f>Table4[[#This Row],[total_cost_eur]]/Table4[[#This Row],[pv_kWp]]</f>
        <v>893.33333333333337</v>
      </c>
      <c r="R210" s="1"/>
      <c r="S210" s="1"/>
      <c r="T210" s="1">
        <v>3</v>
      </c>
      <c r="U210" s="1"/>
      <c r="V210" s="1"/>
      <c r="W210" s="1"/>
      <c r="X210" s="1"/>
      <c r="Y210" s="1"/>
      <c r="Z210" s="1"/>
      <c r="AA210" s="1"/>
      <c r="AB210" s="1"/>
      <c r="AC210" s="1"/>
      <c r="AD210" s="1"/>
      <c r="AE210" s="1"/>
      <c r="AF210" s="6"/>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row>
    <row r="211" spans="1:63" ht="16" thickBot="1" x14ac:dyDescent="0.25">
      <c r="A211" s="3">
        <v>211</v>
      </c>
      <c r="B211" s="3" t="s">
        <v>39</v>
      </c>
      <c r="C211" s="3" t="s">
        <v>543</v>
      </c>
      <c r="D211" s="3" t="s">
        <v>40</v>
      </c>
      <c r="E211" s="1"/>
      <c r="F211" s="3">
        <v>2022</v>
      </c>
      <c r="G211" s="1" t="s">
        <v>274</v>
      </c>
      <c r="H211" s="1" t="s">
        <v>49</v>
      </c>
      <c r="I211" s="1"/>
      <c r="J211" s="113">
        <f>Table4[[#This Row],[total_cost_npr]]*(1/'Calculations &amp; Assumptions'!$C$6)</f>
        <v>1987.9784449576598</v>
      </c>
      <c r="K211" s="113">
        <f>Table4[[#This Row],[system_cost_npr_per_kwp]]*(1/'Calculations &amp; Assumptions'!$C$6)</f>
        <v>993.9892224788299</v>
      </c>
      <c r="L211" s="23">
        <f>IF(Table4[[#This Row],[total_cost_inr]]&gt;0, Table4[[#This Row],[total_cost_inr]]*'Calculations &amp; Assumptions'!$C$7,IF(Table4[[#This Row],[total_cost_eur]]&gt;0,Table4[[#This Row],[total_cost_eur]]*'Calculations &amp; Assumptions'!$C$5,0))</f>
        <v>258238.40000000002</v>
      </c>
      <c r="M211" s="77">
        <f>IF(H211="smartmeter_1ph",Table4[[#This Row],[total_cost_npr]],Table4[[#This Row],[total_cost_npr]]/Table4[[#This Row],[pv_kWp]])</f>
        <v>129119.20000000001</v>
      </c>
      <c r="N211" s="1">
        <v>161399</v>
      </c>
      <c r="O211" s="1">
        <f>Table4[[#This Row],[total_cost_inr]]/Table4[[#This Row],[pv_kWp]]</f>
        <v>80699.5</v>
      </c>
      <c r="P211" s="1"/>
      <c r="Q211" s="3"/>
      <c r="R211" s="1"/>
      <c r="S211" s="1"/>
      <c r="T211" s="1">
        <v>2</v>
      </c>
      <c r="U211" s="1"/>
      <c r="V211" s="1"/>
      <c r="W211" s="1" t="s">
        <v>43</v>
      </c>
      <c r="X211" s="1"/>
      <c r="Y211" s="1"/>
      <c r="Z211" s="1">
        <v>2</v>
      </c>
      <c r="AA211" s="1"/>
      <c r="AB211" s="1"/>
      <c r="AC211" s="1"/>
      <c r="AD211" s="1">
        <v>3.6</v>
      </c>
      <c r="AE211" s="1"/>
      <c r="AF211" s="6"/>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row>
    <row r="212" spans="1:63" ht="16" thickBot="1" x14ac:dyDescent="0.25">
      <c r="A212" s="3">
        <v>212</v>
      </c>
      <c r="B212" s="3" t="s">
        <v>39</v>
      </c>
      <c r="C212" s="3" t="s">
        <v>543</v>
      </c>
      <c r="D212" s="3" t="s">
        <v>40</v>
      </c>
      <c r="E212" s="1"/>
      <c r="F212" s="3">
        <v>2022</v>
      </c>
      <c r="G212" s="1" t="s">
        <v>274</v>
      </c>
      <c r="H212" s="1" t="s">
        <v>50</v>
      </c>
      <c r="I212" s="1"/>
      <c r="J212" s="113">
        <f>Table4[[#This Row],[total_cost_npr]]*(1/'Calculations &amp; Assumptions'!$C$6)</f>
        <v>1120.7390300230945</v>
      </c>
      <c r="K212" s="113">
        <f>Table4[[#This Row],[system_cost_npr_per_kwp]]*(1/'Calculations &amp; Assumptions'!$C$6)</f>
        <v>560.36951501154726</v>
      </c>
      <c r="L212" s="23">
        <f>IF(Table4[[#This Row],[total_cost_inr]]&gt;0, Table4[[#This Row],[total_cost_inr]]*'Calculations &amp; Assumptions'!$C$7,IF(Table4[[#This Row],[total_cost_eur]]&gt;0,Table4[[#This Row],[total_cost_eur]]*'Calculations &amp; Assumptions'!$C$5,0))</f>
        <v>145584</v>
      </c>
      <c r="M212" s="77">
        <f>IF(H212="smartmeter_1ph",Table4[[#This Row],[total_cost_npr]],Table4[[#This Row],[total_cost_npr]]/Table4[[#This Row],[pv_kWp]])</f>
        <v>72792</v>
      </c>
      <c r="N212" s="1">
        <v>90990</v>
      </c>
      <c r="O212" s="1">
        <f>Table4[[#This Row],[total_cost_inr]]/Table4[[#This Row],[pv_kWp]]</f>
        <v>45495</v>
      </c>
      <c r="P212" s="1"/>
      <c r="Q212" s="3"/>
      <c r="R212" s="1"/>
      <c r="S212" s="1"/>
      <c r="T212" s="1">
        <v>2</v>
      </c>
      <c r="U212" s="1"/>
      <c r="V212" s="1"/>
      <c r="W212" s="1" t="s">
        <v>43</v>
      </c>
      <c r="X212" s="1"/>
      <c r="Y212" s="1"/>
      <c r="Z212" s="1"/>
      <c r="AA212" s="1"/>
      <c r="AB212" s="1"/>
      <c r="AC212" s="1"/>
      <c r="AD212" s="1"/>
      <c r="AE212" s="1"/>
      <c r="AF212" s="6"/>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row>
    <row r="213" spans="1:63" ht="30" thickBot="1" x14ac:dyDescent="0.25">
      <c r="A213" s="3">
        <v>213</v>
      </c>
      <c r="B213" s="3" t="s">
        <v>427</v>
      </c>
      <c r="C213" s="3" t="s">
        <v>543</v>
      </c>
      <c r="D213" s="3" t="s">
        <v>155</v>
      </c>
      <c r="E213" s="1"/>
      <c r="F213" s="3">
        <v>2022</v>
      </c>
      <c r="G213" s="1" t="s">
        <v>274</v>
      </c>
      <c r="H213" s="1" t="s">
        <v>49</v>
      </c>
      <c r="I213" s="1"/>
      <c r="J213" s="113">
        <f>Table4[[#This Row],[total_cost_npr]]*(1/'Calculations &amp; Assumptions'!$C$6)</f>
        <v>3712.8560431100846</v>
      </c>
      <c r="K213" s="113">
        <f>Table4[[#This Row],[system_cost_npr_per_kwp]]*(1/'Calculations &amp; Assumptions'!$C$6)</f>
        <v>1856.4280215550423</v>
      </c>
      <c r="L213" s="23">
        <f>IF(Table4[[#This Row],[total_cost_inr]]&gt;0, Table4[[#This Row],[total_cost_inr]]*'Calculations &amp; Assumptions'!$C$7,IF(Table4[[#This Row],[total_cost_eur]]&gt;0,Table4[[#This Row],[total_cost_eur]]*'Calculations &amp; Assumptions'!$C$5,0))</f>
        <v>482300</v>
      </c>
      <c r="M213" s="77">
        <f>IF(H213="smartmeter_1ph",Table4[[#This Row],[total_cost_npr]],Table4[[#This Row],[total_cost_npr]]/Table4[[#This Row],[pv_kWp]])</f>
        <v>241150</v>
      </c>
      <c r="N213" s="1"/>
      <c r="O213" s="1"/>
      <c r="P213" s="1">
        <v>3710</v>
      </c>
      <c r="Q213" s="3">
        <f>Table4[[#This Row],[total_cost_eur]]/Table4[[#This Row],[pv_kWp]]</f>
        <v>1855</v>
      </c>
      <c r="R213" s="1"/>
      <c r="S213" s="1"/>
      <c r="T213" s="1">
        <v>2</v>
      </c>
      <c r="U213" s="1"/>
      <c r="V213" s="1"/>
      <c r="W213" s="1"/>
      <c r="X213" s="1"/>
      <c r="Y213" s="1"/>
      <c r="Z213" s="1"/>
      <c r="AA213" s="1"/>
      <c r="AB213" s="1"/>
      <c r="AC213" s="1"/>
      <c r="AD213" s="1"/>
      <c r="AE213" s="1"/>
      <c r="AF213" s="6"/>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row>
    <row r="214" spans="1:63" ht="30" thickBot="1" x14ac:dyDescent="0.25">
      <c r="A214" s="3">
        <v>214</v>
      </c>
      <c r="B214" s="3" t="s">
        <v>427</v>
      </c>
      <c r="C214" s="3" t="s">
        <v>543</v>
      </c>
      <c r="D214" s="3" t="s">
        <v>155</v>
      </c>
      <c r="E214" s="1"/>
      <c r="F214" s="3">
        <v>2022</v>
      </c>
      <c r="G214" s="1" t="s">
        <v>274</v>
      </c>
      <c r="H214" s="1" t="s">
        <v>49</v>
      </c>
      <c r="I214" s="1"/>
      <c r="J214" s="113">
        <f>Table4[[#This Row],[total_cost_npr]]*(1/'Calculations &amp; Assumptions'!$C$6)</f>
        <v>21806.774441878366</v>
      </c>
      <c r="K214" s="113">
        <f>Table4[[#This Row],[system_cost_npr_per_kwp]]*(1/'Calculations &amp; Assumptions'!$C$6)</f>
        <v>10903.387220939183</v>
      </c>
      <c r="L214" s="23">
        <f>IF(Table4[[#This Row],[total_cost_inr]]&gt;0, Table4[[#This Row],[total_cost_inr]]*'Calculations &amp; Assumptions'!$C$7,IF(Table4[[#This Row],[total_cost_eur]]&gt;0,Table4[[#This Row],[total_cost_eur]]*'Calculations &amp; Assumptions'!$C$5,0))</f>
        <v>2832700</v>
      </c>
      <c r="M214" s="77">
        <f>IF(H214="smartmeter_1ph",Table4[[#This Row],[total_cost_npr]],Table4[[#This Row],[total_cost_npr]]/Table4[[#This Row],[pv_kWp]])</f>
        <v>1416350</v>
      </c>
      <c r="N214" s="1"/>
      <c r="O214" s="1"/>
      <c r="P214" s="1">
        <v>21790</v>
      </c>
      <c r="Q214" s="3">
        <f>Table4[[#This Row],[total_cost_eur]]/Table4[[#This Row],[pv_kWp]]</f>
        <v>10895</v>
      </c>
      <c r="R214" s="1"/>
      <c r="S214" s="1"/>
      <c r="T214" s="1">
        <v>2</v>
      </c>
      <c r="U214" s="1"/>
      <c r="V214" s="1"/>
      <c r="W214" s="1"/>
      <c r="X214" s="1"/>
      <c r="Y214" s="1"/>
      <c r="Z214" s="1"/>
      <c r="AA214" s="1"/>
      <c r="AB214" s="1"/>
      <c r="AC214" s="1"/>
      <c r="AD214" s="1"/>
      <c r="AE214" s="1"/>
      <c r="AF214" s="6"/>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row>
    <row r="215" spans="1:63" ht="16" thickBot="1" x14ac:dyDescent="0.25">
      <c r="A215" s="3">
        <v>215</v>
      </c>
      <c r="B215" s="3" t="s">
        <v>39</v>
      </c>
      <c r="C215" s="3" t="s">
        <v>543</v>
      </c>
      <c r="D215" s="3" t="s">
        <v>40</v>
      </c>
      <c r="E215" s="1"/>
      <c r="F215" s="3">
        <v>2022</v>
      </c>
      <c r="G215" s="1" t="s">
        <v>274</v>
      </c>
      <c r="H215" s="1" t="s">
        <v>49</v>
      </c>
      <c r="I215" s="1"/>
      <c r="J215" s="113">
        <f>Table4[[#This Row],[total_cost_npr]]*(1/'Calculations &amp; Assumptions'!$C$6)</f>
        <v>858.4942263279446</v>
      </c>
      <c r="K215" s="113">
        <f>Table4[[#This Row],[system_cost_npr_per_kwp]]*(1/'Calculations &amp; Assumptions'!$C$6)</f>
        <v>858.4942263279446</v>
      </c>
      <c r="L215" s="23">
        <f>IF(Table4[[#This Row],[total_cost_inr]]&gt;0, Table4[[#This Row],[total_cost_inr]]*'Calculations &amp; Assumptions'!$C$7,IF(Table4[[#This Row],[total_cost_eur]]&gt;0,Table4[[#This Row],[total_cost_eur]]*'Calculations &amp; Assumptions'!$C$5,0))</f>
        <v>111518.40000000001</v>
      </c>
      <c r="M215" s="77">
        <f>IF(H215="smartmeter_1ph",Table4[[#This Row],[total_cost_npr]],Table4[[#This Row],[total_cost_npr]]/Table4[[#This Row],[pv_kWp]])</f>
        <v>111518.40000000001</v>
      </c>
      <c r="N215" s="1">
        <v>69699</v>
      </c>
      <c r="O215" s="1">
        <f>Table4[[#This Row],[total_cost_inr]]/Table4[[#This Row],[pv_kWp]]</f>
        <v>69699</v>
      </c>
      <c r="P215" s="1"/>
      <c r="Q215" s="3"/>
      <c r="R215" s="1"/>
      <c r="S215" s="1"/>
      <c r="T215" s="1">
        <v>1</v>
      </c>
      <c r="U215" s="1"/>
      <c r="V215" s="1"/>
      <c r="W215" s="1" t="s">
        <v>43</v>
      </c>
      <c r="X215" s="1"/>
      <c r="Y215" s="1"/>
      <c r="Z215" s="1">
        <v>1</v>
      </c>
      <c r="AA215" s="1"/>
      <c r="AB215" s="1"/>
      <c r="AC215" s="1"/>
      <c r="AD215" s="1">
        <v>1.8</v>
      </c>
      <c r="AE215" s="1"/>
      <c r="AF215" s="6"/>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row>
    <row r="216" spans="1:63" ht="16" thickBot="1" x14ac:dyDescent="0.25">
      <c r="A216" s="3">
        <v>216</v>
      </c>
      <c r="B216" s="3" t="s">
        <v>39</v>
      </c>
      <c r="C216" s="3" t="s">
        <v>543</v>
      </c>
      <c r="D216" s="3" t="s">
        <v>40</v>
      </c>
      <c r="E216" s="1"/>
      <c r="F216" s="3">
        <v>2022</v>
      </c>
      <c r="G216" s="1" t="s">
        <v>274</v>
      </c>
      <c r="H216" s="1" t="s">
        <v>50</v>
      </c>
      <c r="I216" s="1"/>
      <c r="J216" s="113">
        <f>Table4[[#This Row],[total_cost_npr]]*(1/'Calculations &amp; Assumptions'!$C$6)</f>
        <v>825.23787528868354</v>
      </c>
      <c r="K216" s="113">
        <f>Table4[[#This Row],[system_cost_npr_per_kwp]]*(1/'Calculations &amp; Assumptions'!$C$6)</f>
        <v>825.23787528868354</v>
      </c>
      <c r="L216" s="23">
        <f>IF(Table4[[#This Row],[total_cost_inr]]&gt;0, Table4[[#This Row],[total_cost_inr]]*'Calculations &amp; Assumptions'!$C$7,IF(Table4[[#This Row],[total_cost_eur]]&gt;0,Table4[[#This Row],[total_cost_eur]]*'Calculations &amp; Assumptions'!$C$5,0))</f>
        <v>107198.40000000001</v>
      </c>
      <c r="M216" s="77">
        <f>IF(H216="smartmeter_1ph",Table4[[#This Row],[total_cost_npr]],Table4[[#This Row],[total_cost_npr]]/Table4[[#This Row],[pv_kWp]])</f>
        <v>107198.40000000001</v>
      </c>
      <c r="N216" s="1">
        <v>66999</v>
      </c>
      <c r="O216" s="1">
        <f>Table4[[#This Row],[total_cost_inr]]/Table4[[#This Row],[pv_kWp]]</f>
        <v>66999</v>
      </c>
      <c r="P216" s="1"/>
      <c r="Q216" s="3"/>
      <c r="R216" s="1"/>
      <c r="S216" s="1"/>
      <c r="T216" s="1">
        <v>1</v>
      </c>
      <c r="U216" s="1"/>
      <c r="V216" s="1"/>
      <c r="W216" s="1" t="s">
        <v>43</v>
      </c>
      <c r="X216" s="1"/>
      <c r="Y216" s="1"/>
      <c r="Z216" s="1">
        <v>1</v>
      </c>
      <c r="AA216" s="1"/>
      <c r="AB216" s="1">
        <v>0</v>
      </c>
      <c r="AC216" s="1">
        <v>0</v>
      </c>
      <c r="AD216" s="1">
        <v>0</v>
      </c>
      <c r="AE216" s="1"/>
      <c r="AF216" s="6"/>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row>
    <row r="217" spans="1:63" ht="30" thickBot="1" x14ac:dyDescent="0.25">
      <c r="A217" s="3">
        <v>217</v>
      </c>
      <c r="B217" s="3" t="s">
        <v>427</v>
      </c>
      <c r="C217" s="3" t="s">
        <v>543</v>
      </c>
      <c r="D217" s="3" t="s">
        <v>155</v>
      </c>
      <c r="E217" s="1"/>
      <c r="F217" s="3">
        <v>2022</v>
      </c>
      <c r="G217" s="1" t="s">
        <v>274</v>
      </c>
      <c r="H217" s="1" t="s">
        <v>49</v>
      </c>
      <c r="I217" s="1"/>
      <c r="J217" s="113">
        <f>Table4[[#This Row],[total_cost_npr]]*(1/'Calculations &amp; Assumptions'!$C$6)</f>
        <v>536.41262509622777</v>
      </c>
      <c r="K217" s="113">
        <f>Table4[[#This Row],[system_cost_npr_per_kwp]]*(1/'Calculations &amp; Assumptions'!$C$6)</f>
        <v>1072.8252501924555</v>
      </c>
      <c r="L217" s="23">
        <f>IF(Table4[[#This Row],[total_cost_inr]]&gt;0, Table4[[#This Row],[total_cost_inr]]*'Calculations &amp; Assumptions'!$C$7,IF(Table4[[#This Row],[total_cost_eur]]&gt;0,Table4[[#This Row],[total_cost_eur]]*'Calculations &amp; Assumptions'!$C$5,0))</f>
        <v>69680</v>
      </c>
      <c r="M217" s="77">
        <f>IF(H217="smartmeter_1ph",Table4[[#This Row],[total_cost_npr]],Table4[[#This Row],[total_cost_npr]]/Table4[[#This Row],[pv_kWp]])</f>
        <v>139360</v>
      </c>
      <c r="N217" s="1"/>
      <c r="O217" s="1"/>
      <c r="P217" s="1">
        <v>536</v>
      </c>
      <c r="Q217" s="3">
        <f>Table4[[#This Row],[total_cost_eur]]/Table4[[#This Row],[pv_kWp]]</f>
        <v>1072</v>
      </c>
      <c r="R217" s="1"/>
      <c r="S217" s="1"/>
      <c r="T217" s="1">
        <v>0.5</v>
      </c>
      <c r="U217" s="1"/>
      <c r="V217" s="1"/>
      <c r="W217" s="1"/>
      <c r="X217" s="1"/>
      <c r="Y217" s="1"/>
      <c r="Z217" s="1"/>
      <c r="AA217" s="1"/>
      <c r="AB217" s="1"/>
      <c r="AC217" s="1"/>
      <c r="AD217" s="1"/>
      <c r="AE217" s="1"/>
      <c r="AF217" s="6"/>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row>
    <row r="218" spans="1:63" ht="16" thickBot="1" x14ac:dyDescent="0.25">
      <c r="A218" s="3">
        <v>218</v>
      </c>
      <c r="B218" s="3" t="s">
        <v>268</v>
      </c>
      <c r="C218" s="3" t="s">
        <v>543</v>
      </c>
      <c r="D218" s="88" t="s">
        <v>40</v>
      </c>
      <c r="E218" s="32"/>
      <c r="F218" s="3">
        <v>2022</v>
      </c>
      <c r="G218" s="1" t="s">
        <v>274</v>
      </c>
      <c r="H218" s="1" t="s">
        <v>49</v>
      </c>
      <c r="I218" s="1" t="s">
        <v>268</v>
      </c>
      <c r="J218" s="113">
        <f>Table4[[#This Row],[total_cost_npr]]*(1/'Calculations &amp; Assumptions'!$C$6)</f>
        <v>227.86759045419552</v>
      </c>
      <c r="K218" s="113">
        <f>Table4[[#This Row],[system_cost_npr_per_kwp]]*(1/'Calculations &amp; Assumptions'!$C$6)</f>
        <v>1139.3379522709777</v>
      </c>
      <c r="L218" s="23">
        <f>IF(Table4[[#This Row],[total_cost_inr]]&gt;0, Table4[[#This Row],[total_cost_inr]]*'Calculations &amp; Assumptions'!$C$7,IF(Table4[[#This Row],[total_cost_eur]]&gt;0,Table4[[#This Row],[total_cost_eur]]*'Calculations &amp; Assumptions'!$C$5,0))</f>
        <v>29600</v>
      </c>
      <c r="M218" s="77">
        <f>IF(H218="smartmeter_1ph",Table4[[#This Row],[total_cost_npr]],Table4[[#This Row],[total_cost_npr]]/Table4[[#This Row],[pv_kWp]])</f>
        <v>148000</v>
      </c>
      <c r="N218" s="89">
        <v>18500</v>
      </c>
      <c r="O218" s="1">
        <f>Table4[[#This Row],[total_cost_inr]]/Table4[[#This Row],[pv_kWp]]</f>
        <v>92500</v>
      </c>
      <c r="P218" s="1"/>
      <c r="Q218" s="3">
        <f>Table4[[#This Row],[total_cost_eur]]/Table4[[#This Row],[pv_kWp]]</f>
        <v>0</v>
      </c>
      <c r="R218" s="1"/>
      <c r="S218" s="1"/>
      <c r="T218" s="30">
        <v>0.2</v>
      </c>
      <c r="U218" s="1"/>
      <c r="V218" s="1"/>
      <c r="W218" s="1"/>
      <c r="X218" s="1"/>
      <c r="Y218" s="1"/>
      <c r="Z218" s="1"/>
      <c r="AA218" s="1"/>
      <c r="AB218" s="1"/>
      <c r="AC218" s="1"/>
      <c r="AD218" s="1"/>
      <c r="AE218" s="1"/>
      <c r="AF218" s="6"/>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row>
    <row r="219" spans="1:63" ht="30" thickBot="1" x14ac:dyDescent="0.25">
      <c r="A219" s="3">
        <v>219</v>
      </c>
      <c r="B219" s="3" t="s">
        <v>427</v>
      </c>
      <c r="C219" s="3" t="s">
        <v>543</v>
      </c>
      <c r="D219" s="3" t="s">
        <v>155</v>
      </c>
      <c r="E219" s="1"/>
      <c r="F219" s="3">
        <v>2022</v>
      </c>
      <c r="G219" s="1" t="s">
        <v>48</v>
      </c>
      <c r="H219" s="1" t="s">
        <v>75</v>
      </c>
      <c r="I219" s="1"/>
      <c r="J219" s="113">
        <f>Table4[[#This Row],[total_cost_npr]]*(1/'Calculations &amp; Assumptions'!$C$6)</f>
        <v>206.15858352578906</v>
      </c>
      <c r="K219" s="113">
        <f>Table4[[#This Row],[system_cost_npr_per_kwp]]*(1/'Calculations &amp; Assumptions'!$C$6)</f>
        <v>1030.7929176289454</v>
      </c>
      <c r="L219" s="23">
        <f>IF(Table4[[#This Row],[total_cost_inr]]&gt;0, Table4[[#This Row],[total_cost_inr]]*'Calculations &amp; Assumptions'!$C$7,IF(Table4[[#This Row],[total_cost_eur]]&gt;0,Table4[[#This Row],[total_cost_eur]]*'Calculations &amp; Assumptions'!$C$5,0))</f>
        <v>26780</v>
      </c>
      <c r="M219" s="77">
        <f>IF(H219="smartmeter_1ph",Table4[[#This Row],[total_cost_npr]],Table4[[#This Row],[total_cost_npr]]/Table4[[#This Row],[pv_kWp]])</f>
        <v>133900</v>
      </c>
      <c r="N219" s="1"/>
      <c r="O219" s="1"/>
      <c r="P219" s="1">
        <v>206</v>
      </c>
      <c r="Q219" s="3">
        <f>Table4[[#This Row],[total_cost_eur]]/Table4[[#This Row],[pv_kWp]]</f>
        <v>1030</v>
      </c>
      <c r="R219" s="1"/>
      <c r="S219" s="1"/>
      <c r="T219" s="1">
        <v>0.2</v>
      </c>
      <c r="U219" s="1"/>
      <c r="V219" s="1"/>
      <c r="W219" s="1"/>
      <c r="X219" s="1"/>
      <c r="Y219" s="1"/>
      <c r="Z219" s="1"/>
      <c r="AA219" s="1"/>
      <c r="AB219" s="1"/>
      <c r="AC219" s="1"/>
      <c r="AD219" s="1"/>
      <c r="AE219" s="1"/>
      <c r="AF219" s="6"/>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row>
    <row r="220" spans="1:63" ht="16" thickBot="1" x14ac:dyDescent="0.25">
      <c r="A220" s="3">
        <v>220</v>
      </c>
      <c r="B220" s="28" t="s">
        <v>243</v>
      </c>
      <c r="C220" s="3" t="s">
        <v>543</v>
      </c>
      <c r="D220" s="3" t="s">
        <v>40</v>
      </c>
      <c r="E220" s="1"/>
      <c r="F220" s="3">
        <v>2022</v>
      </c>
      <c r="G220" s="1" t="s">
        <v>48</v>
      </c>
      <c r="H220" s="1" t="s">
        <v>106</v>
      </c>
      <c r="I220" s="27"/>
      <c r="J220" s="113">
        <f>Table4[[#This Row],[total_cost_npr]]*(1/'Calculations &amp; Assumptions'!$C$6)</f>
        <v>541.95535026943799</v>
      </c>
      <c r="K220" s="113">
        <f>Table4[[#This Row],[system_cost_npr_per_kwp]]*(1/'Calculations &amp; Assumptions'!$C$6)</f>
        <v>3284.5778804208358</v>
      </c>
      <c r="L220" s="23">
        <f>IF(Table4[[#This Row],[total_cost_inr]]&gt;0, Table4[[#This Row],[total_cost_inr]]*'Calculations &amp; Assumptions'!$C$7,IF(Table4[[#This Row],[total_cost_eur]]&gt;0,Table4[[#This Row],[total_cost_eur]]*'Calculations &amp; Assumptions'!$C$5,0))</f>
        <v>70400</v>
      </c>
      <c r="M220" s="77">
        <f>IF(H220="smartmeter_1ph",Table4[[#This Row],[total_cost_npr]],Table4[[#This Row],[total_cost_npr]]/Table4[[#This Row],[pv_kWp]])</f>
        <v>426666.66666666663</v>
      </c>
      <c r="N220" s="1">
        <v>44000</v>
      </c>
      <c r="O220" s="1">
        <f>Table4[[#This Row],[total_cost_inr]]/Table4[[#This Row],[pv_kWp]]</f>
        <v>266666.66666666663</v>
      </c>
      <c r="P220" s="1"/>
      <c r="Q220" s="3">
        <f>Table4[[#This Row],[total_cost_eur]]/Table4[[#This Row],[pv_kWp]]</f>
        <v>0</v>
      </c>
      <c r="R220" s="1"/>
      <c r="S220" s="1"/>
      <c r="T220" s="1">
        <v>0.16500000000000001</v>
      </c>
      <c r="U220" s="1"/>
      <c r="V220" s="1"/>
      <c r="W220" s="1"/>
      <c r="X220" s="1"/>
      <c r="Y220" s="1"/>
      <c r="Z220" s="1"/>
      <c r="AA220" s="1"/>
      <c r="AB220" s="1"/>
      <c r="AC220" s="1"/>
      <c r="AD220" s="1"/>
      <c r="AE220" s="1"/>
      <c r="AF220" s="6"/>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row>
    <row r="221" spans="1:63" ht="16" thickBot="1" x14ac:dyDescent="0.25">
      <c r="A221" s="3">
        <v>221</v>
      </c>
      <c r="B221" s="3" t="s">
        <v>267</v>
      </c>
      <c r="C221" s="3" t="s">
        <v>543</v>
      </c>
      <c r="D221" s="88" t="s">
        <v>40</v>
      </c>
      <c r="E221" s="32"/>
      <c r="F221" s="3">
        <v>2022</v>
      </c>
      <c r="G221" s="1" t="s">
        <v>48</v>
      </c>
      <c r="H221" s="1" t="s">
        <v>75</v>
      </c>
      <c r="I221" s="1" t="s">
        <v>267</v>
      </c>
      <c r="J221" s="113">
        <f>Table4[[#This Row],[total_cost_npr]]*(1/'Calculations &amp; Assumptions'!$C$6)</f>
        <v>369.5150115473441</v>
      </c>
      <c r="K221" s="113">
        <f>Table4[[#This Row],[system_cost_npr_per_kwp]]*(1/'Calculations &amp; Assumptions'!$C$6)</f>
        <v>2463.433410315627</v>
      </c>
      <c r="L221" s="23">
        <f>IF(Table4[[#This Row],[total_cost_inr]]&gt;0, Table4[[#This Row],[total_cost_inr]]*'Calculations &amp; Assumptions'!$C$7,IF(Table4[[#This Row],[total_cost_eur]]&gt;0,Table4[[#This Row],[total_cost_eur]]*'Calculations &amp; Assumptions'!$C$5,0))</f>
        <v>48000</v>
      </c>
      <c r="M221" s="77">
        <f>IF(H221="smartmeter_1ph",Table4[[#This Row],[total_cost_npr]],Table4[[#This Row],[total_cost_npr]]/Table4[[#This Row],[pv_kWp]])</f>
        <v>320000</v>
      </c>
      <c r="N221" s="89">
        <v>30000</v>
      </c>
      <c r="O221" s="1">
        <f>Table4[[#This Row],[total_cost_inr]]/Table4[[#This Row],[pv_kWp]]</f>
        <v>200000</v>
      </c>
      <c r="P221" s="1"/>
      <c r="Q221" s="3">
        <f>Table4[[#This Row],[total_cost_eur]]/Table4[[#This Row],[pv_kWp]]</f>
        <v>0</v>
      </c>
      <c r="R221" s="1"/>
      <c r="S221" s="1"/>
      <c r="T221" s="31">
        <v>0.15</v>
      </c>
      <c r="U221" s="1"/>
      <c r="V221" s="1"/>
      <c r="W221" s="1"/>
      <c r="X221" s="1"/>
      <c r="Y221" s="1"/>
      <c r="Z221" s="1"/>
      <c r="AA221" s="1"/>
      <c r="AB221" s="1"/>
      <c r="AC221" s="1"/>
      <c r="AD221" s="1"/>
      <c r="AE221" s="1"/>
      <c r="AF221" s="6"/>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row>
    <row r="222" spans="1:63" ht="16" thickBot="1" x14ac:dyDescent="0.25">
      <c r="A222" s="3">
        <v>222</v>
      </c>
      <c r="B222" s="25" t="s">
        <v>153</v>
      </c>
      <c r="C222" s="3" t="s">
        <v>543</v>
      </c>
      <c r="D222" s="3" t="s">
        <v>40</v>
      </c>
      <c r="E222" s="1"/>
      <c r="F222" s="3">
        <v>2022</v>
      </c>
      <c r="G222" s="1" t="s">
        <v>48</v>
      </c>
      <c r="H222" s="1" t="s">
        <v>75</v>
      </c>
      <c r="I222" s="27"/>
      <c r="J222" s="113">
        <f>Table4[[#This Row],[total_cost_npr]]*(1/'Calculations &amp; Assumptions'!$C$6)</f>
        <v>314.08775981524246</v>
      </c>
      <c r="K222" s="113">
        <f>Table4[[#This Row],[system_cost_npr_per_kwp]]*(1/'Calculations &amp; Assumptions'!$C$6)</f>
        <v>3140.8775981524245</v>
      </c>
      <c r="L222" s="23">
        <f>IF(Table4[[#This Row],[total_cost_inr]]&gt;0, Table4[[#This Row],[total_cost_inr]]*'Calculations &amp; Assumptions'!$C$7,IF(Table4[[#This Row],[total_cost_eur]]&gt;0,Table4[[#This Row],[total_cost_eur]]*'Calculations &amp; Assumptions'!$C$5,0))</f>
        <v>40800</v>
      </c>
      <c r="M222" s="77">
        <f>IF(H222="smartmeter_1ph",Table4[[#This Row],[total_cost_npr]],Table4[[#This Row],[total_cost_npr]]/Table4[[#This Row],[pv_kWp]])</f>
        <v>408000</v>
      </c>
      <c r="N222" s="1">
        <v>25500</v>
      </c>
      <c r="O222" s="1">
        <f>Table4[[#This Row],[total_cost_inr]]/Table4[[#This Row],[pv_kWp]]</f>
        <v>255000</v>
      </c>
      <c r="P222" s="1"/>
      <c r="Q222" s="3">
        <f>Table4[[#This Row],[total_cost_eur]]/Table4[[#This Row],[pv_kWp]]</f>
        <v>0</v>
      </c>
      <c r="R222" s="1"/>
      <c r="S222" s="1"/>
      <c r="T222" s="1">
        <v>0.1</v>
      </c>
      <c r="U222" s="1"/>
      <c r="V222" s="1"/>
      <c r="W222" s="1"/>
      <c r="X222" s="1"/>
      <c r="Y222" s="1"/>
      <c r="Z222" s="1"/>
      <c r="AA222" s="1"/>
      <c r="AB222" s="1"/>
      <c r="AC222" s="1"/>
      <c r="AD222" s="1"/>
      <c r="AE222" s="1"/>
      <c r="AF222" s="6"/>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row>
    <row r="223" spans="1:63" ht="16" thickBot="1" x14ac:dyDescent="0.25">
      <c r="A223" s="3">
        <v>223</v>
      </c>
      <c r="B223" s="25" t="s">
        <v>153</v>
      </c>
      <c r="C223" s="3" t="s">
        <v>543</v>
      </c>
      <c r="D223" s="3" t="s">
        <v>40</v>
      </c>
      <c r="E223" s="1"/>
      <c r="F223" s="3">
        <v>2022</v>
      </c>
      <c r="G223" s="1" t="s">
        <v>48</v>
      </c>
      <c r="H223" s="1" t="s">
        <v>75</v>
      </c>
      <c r="I223" s="27"/>
      <c r="J223" s="113">
        <f>Table4[[#This Row],[total_cost_npr]]*(1/'Calculations &amp; Assumptions'!$C$6)</f>
        <v>646.89761354888367</v>
      </c>
      <c r="K223" s="113">
        <f>Table4[[#This Row],[system_cost_npr_per_kwp]]*(1/'Calculations &amp; Assumptions'!$C$6)</f>
        <v>6468.9761354888369</v>
      </c>
      <c r="L223" s="23">
        <f>IF(Table4[[#This Row],[total_cost_inr]]&gt;0, Table4[[#This Row],[total_cost_inr]]*'Calculations &amp; Assumptions'!$C$7,IF(Table4[[#This Row],[total_cost_eur]]&gt;0,Table4[[#This Row],[total_cost_eur]]*'Calculations &amp; Assumptions'!$C$5,0))</f>
        <v>84032</v>
      </c>
      <c r="M223" s="77">
        <f>IF(H223="smartmeter_1ph",Table4[[#This Row],[total_cost_npr]],Table4[[#This Row],[total_cost_npr]]/Table4[[#This Row],[pv_kWp]])</f>
        <v>840320</v>
      </c>
      <c r="N223" s="1">
        <v>52520</v>
      </c>
      <c r="O223" s="1">
        <f>Table4[[#This Row],[total_cost_inr]]/Table4[[#This Row],[pv_kWp]]</f>
        <v>525200</v>
      </c>
      <c r="P223" s="1"/>
      <c r="Q223" s="3">
        <f>Table4[[#This Row],[total_cost_eur]]/Table4[[#This Row],[pv_kWp]]</f>
        <v>0</v>
      </c>
      <c r="R223" s="1"/>
      <c r="S223" s="1"/>
      <c r="T223" s="1">
        <v>0.1</v>
      </c>
      <c r="U223" s="1"/>
      <c r="V223" s="1"/>
      <c r="W223" s="1"/>
      <c r="X223" s="1"/>
      <c r="Y223" s="1"/>
      <c r="Z223" s="1"/>
      <c r="AA223" s="1"/>
      <c r="AB223" s="1"/>
      <c r="AC223" s="1"/>
      <c r="AD223" s="1"/>
      <c r="AE223" s="1"/>
      <c r="AF223" s="6"/>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row>
    <row r="224" spans="1:63" ht="16" thickBot="1" x14ac:dyDescent="0.25">
      <c r="A224" s="3">
        <v>224</v>
      </c>
      <c r="B224" s="26"/>
      <c r="C224" s="3" t="s">
        <v>543</v>
      </c>
      <c r="D224" s="3" t="s">
        <v>40</v>
      </c>
      <c r="E224" s="1"/>
      <c r="F224" s="3">
        <v>2022</v>
      </c>
      <c r="G224" s="1" t="s">
        <v>48</v>
      </c>
      <c r="H224" s="1" t="s">
        <v>75</v>
      </c>
      <c r="I224" s="27"/>
      <c r="J224" s="113">
        <f>Table4[[#This Row],[total_cost_npr]]*(1/'Calculations &amp; Assumptions'!$C$6)</f>
        <v>221.70900692840644</v>
      </c>
      <c r="K224" s="113">
        <f>Table4[[#This Row],[system_cost_npr_per_kwp]]*(1/'Calculations &amp; Assumptions'!$C$6)</f>
        <v>2217.0900692840646</v>
      </c>
      <c r="L224" s="23">
        <f>IF(Table4[[#This Row],[total_cost_inr]]&gt;0, Table4[[#This Row],[total_cost_inr]]*'Calculations &amp; Assumptions'!$C$7,IF(Table4[[#This Row],[total_cost_eur]]&gt;0,Table4[[#This Row],[total_cost_eur]]*'Calculations &amp; Assumptions'!$C$5,0))</f>
        <v>28800</v>
      </c>
      <c r="M224" s="77">
        <f>IF(H224="smartmeter_1ph",Table4[[#This Row],[total_cost_npr]],Table4[[#This Row],[total_cost_npr]]/Table4[[#This Row],[pv_kWp]])</f>
        <v>288000</v>
      </c>
      <c r="N224" s="1">
        <v>18000</v>
      </c>
      <c r="O224" s="1">
        <f>Table4[[#This Row],[total_cost_inr]]/Table4[[#This Row],[pv_kWp]]</f>
        <v>180000</v>
      </c>
      <c r="P224" s="1"/>
      <c r="Q224" s="3">
        <f>Table4[[#This Row],[total_cost_eur]]/Table4[[#This Row],[pv_kWp]]</f>
        <v>0</v>
      </c>
      <c r="R224" s="1"/>
      <c r="S224" s="1"/>
      <c r="T224" s="1">
        <v>0.1</v>
      </c>
      <c r="U224" s="1"/>
      <c r="V224" s="1"/>
      <c r="W224" s="1"/>
      <c r="X224" s="1"/>
      <c r="Y224" s="1"/>
      <c r="Z224" s="1"/>
      <c r="AA224" s="1"/>
      <c r="AB224" s="1"/>
      <c r="AC224" s="1"/>
      <c r="AD224" s="1"/>
      <c r="AE224" s="1"/>
      <c r="AF224" s="6"/>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row>
    <row r="225" spans="1:63" ht="16" thickBot="1" x14ac:dyDescent="0.25">
      <c r="A225" s="3">
        <v>225</v>
      </c>
      <c r="B225" s="26" t="s">
        <v>248</v>
      </c>
      <c r="C225" s="3" t="s">
        <v>543</v>
      </c>
      <c r="D225" s="3" t="s">
        <v>40</v>
      </c>
      <c r="E225" s="1"/>
      <c r="F225" s="3">
        <v>2022</v>
      </c>
      <c r="G225" s="1" t="s">
        <v>48</v>
      </c>
      <c r="H225" s="1" t="s">
        <v>75</v>
      </c>
      <c r="I225" s="27"/>
      <c r="J225" s="113">
        <f>Table4[[#This Row],[total_cost_npr]]*(1/'Calculations &amp; Assumptions'!$C$6)</f>
        <v>172.44033872209391</v>
      </c>
      <c r="K225" s="113">
        <f>Table4[[#This Row],[system_cost_npr_per_kwp]]*(1/'Calculations &amp; Assumptions'!$C$6)</f>
        <v>1724.4033872209391</v>
      </c>
      <c r="L225" s="23">
        <f>IF(Table4[[#This Row],[total_cost_inr]]&gt;0, Table4[[#This Row],[total_cost_inr]]*'Calculations &amp; Assumptions'!$C$7,IF(Table4[[#This Row],[total_cost_eur]]&gt;0,Table4[[#This Row],[total_cost_eur]]*'Calculations &amp; Assumptions'!$C$5,0))</f>
        <v>22400</v>
      </c>
      <c r="M225" s="77">
        <f>IF(H225="smartmeter_1ph",Table4[[#This Row],[total_cost_npr]],Table4[[#This Row],[total_cost_npr]]/Table4[[#This Row],[pv_kWp]])</f>
        <v>224000</v>
      </c>
      <c r="N225" s="1">
        <v>14000</v>
      </c>
      <c r="O225" s="1">
        <f>Table4[[#This Row],[total_cost_inr]]/Table4[[#This Row],[pv_kWp]]</f>
        <v>140000</v>
      </c>
      <c r="P225" s="1"/>
      <c r="Q225" s="3">
        <f>Table4[[#This Row],[total_cost_eur]]/Table4[[#This Row],[pv_kWp]]</f>
        <v>0</v>
      </c>
      <c r="R225" s="1"/>
      <c r="S225" s="1"/>
      <c r="T225" s="1">
        <v>0.1</v>
      </c>
      <c r="U225" s="1"/>
      <c r="V225" s="1"/>
      <c r="W225" s="1"/>
      <c r="X225" s="1"/>
      <c r="Y225" s="1"/>
      <c r="Z225" s="1"/>
      <c r="AA225" s="1"/>
      <c r="AB225" s="1"/>
      <c r="AC225" s="1"/>
      <c r="AD225" s="1"/>
      <c r="AE225" s="1"/>
      <c r="AF225" s="6"/>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row>
    <row r="226" spans="1:63" ht="16" thickBot="1" x14ac:dyDescent="0.25">
      <c r="A226" s="3">
        <v>226</v>
      </c>
      <c r="B226" s="3" t="s">
        <v>265</v>
      </c>
      <c r="C226" s="3" t="s">
        <v>543</v>
      </c>
      <c r="D226" s="88" t="s">
        <v>40</v>
      </c>
      <c r="E226" s="32"/>
      <c r="F226" s="3">
        <v>2022</v>
      </c>
      <c r="G226" s="1" t="s">
        <v>48</v>
      </c>
      <c r="H226" s="1" t="s">
        <v>75</v>
      </c>
      <c r="I226" s="1" t="s">
        <v>265</v>
      </c>
      <c r="J226" s="113">
        <f>Table4[[#This Row],[total_cost_npr]]*(1/'Calculations &amp; Assumptions'!$C$6)</f>
        <v>129.33025404157041</v>
      </c>
      <c r="K226" s="113">
        <f>Table4[[#This Row],[system_cost_npr_per_kwp]]*(1/'Calculations &amp; Assumptions'!$C$6)</f>
        <v>1293.3025404157042</v>
      </c>
      <c r="L226" s="23">
        <f>IF(Table4[[#This Row],[total_cost_inr]]&gt;0, Table4[[#This Row],[total_cost_inr]]*'Calculations &amp; Assumptions'!$C$7,IF(Table4[[#This Row],[total_cost_eur]]&gt;0,Table4[[#This Row],[total_cost_eur]]*'Calculations &amp; Assumptions'!$C$5,0))</f>
        <v>16800</v>
      </c>
      <c r="M226" s="77">
        <f>IF(H226="smartmeter_1ph",Table4[[#This Row],[total_cost_npr]],Table4[[#This Row],[total_cost_npr]]/Table4[[#This Row],[pv_kWp]])</f>
        <v>168000</v>
      </c>
      <c r="N226" s="89">
        <v>10500</v>
      </c>
      <c r="O226" s="1">
        <f>Table4[[#This Row],[total_cost_inr]]/Table4[[#This Row],[pv_kWp]]</f>
        <v>105000</v>
      </c>
      <c r="P226" s="1"/>
      <c r="Q226" s="3">
        <f>Table4[[#This Row],[total_cost_eur]]/Table4[[#This Row],[pv_kWp]]</f>
        <v>0</v>
      </c>
      <c r="R226" s="1"/>
      <c r="S226" s="1"/>
      <c r="T226" s="31">
        <v>0.1</v>
      </c>
      <c r="U226" s="1"/>
      <c r="V226" s="1"/>
      <c r="W226" s="1"/>
      <c r="X226" s="1"/>
      <c r="Y226" s="1"/>
      <c r="Z226" s="1"/>
      <c r="AA226" s="1"/>
      <c r="AB226" s="1"/>
      <c r="AC226" s="1"/>
      <c r="AD226" s="1"/>
      <c r="AE226" s="1"/>
      <c r="AF226" s="6"/>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row>
    <row r="227" spans="1:63" ht="30" thickBot="1" x14ac:dyDescent="0.25">
      <c r="A227" s="3">
        <v>227</v>
      </c>
      <c r="B227" s="3" t="s">
        <v>74</v>
      </c>
      <c r="C227" s="3" t="s">
        <v>543</v>
      </c>
      <c r="D227" s="1" t="s">
        <v>40</v>
      </c>
      <c r="E227" s="1"/>
      <c r="F227" s="3">
        <v>2022</v>
      </c>
      <c r="G227" s="1" t="s">
        <v>48</v>
      </c>
      <c r="H227" s="1" t="s">
        <v>75</v>
      </c>
      <c r="I227" s="1"/>
      <c r="J227" s="113">
        <f>Table4[[#This Row],[total_cost_npr]]*(1/'Calculations &amp; Assumptions'!$C$6)</f>
        <v>123.17167051578136</v>
      </c>
      <c r="K227" s="113">
        <f>Table4[[#This Row],[system_cost_npr_per_kwp]]*(1/'Calculations &amp; Assumptions'!$C$6)</f>
        <v>1642.2889402104181</v>
      </c>
      <c r="L227" s="23">
        <f>IF(Table4[[#This Row],[total_cost_inr]]&gt;0, Table4[[#This Row],[total_cost_inr]]*'Calculations &amp; Assumptions'!$C$7,IF(Table4[[#This Row],[total_cost_eur]]&gt;0,Table4[[#This Row],[total_cost_eur]]*'Calculations &amp; Assumptions'!$C$5,0))</f>
        <v>16000</v>
      </c>
      <c r="M227" s="77">
        <f>IF(H227="smartmeter_1ph",Table4[[#This Row],[total_cost_npr]],Table4[[#This Row],[total_cost_npr]]/Table4[[#This Row],[pv_kWp]])</f>
        <v>213333.33333333334</v>
      </c>
      <c r="N227" s="89">
        <v>10000</v>
      </c>
      <c r="O227" s="1">
        <f>Table4[[#This Row],[total_cost_inr]]/Table4[[#This Row],[pv_kWp]]</f>
        <v>133333.33333333334</v>
      </c>
      <c r="P227" s="1"/>
      <c r="Q227" s="3"/>
      <c r="R227" s="1"/>
      <c r="S227" s="1"/>
      <c r="T227" s="1">
        <v>7.4999999999999997E-2</v>
      </c>
      <c r="U227" s="1"/>
      <c r="V227" s="1"/>
      <c r="W227" s="1"/>
      <c r="X227" s="1"/>
      <c r="Y227" s="1"/>
      <c r="Z227" s="1"/>
      <c r="AA227" s="1"/>
      <c r="AB227" s="1"/>
      <c r="AC227" s="1"/>
      <c r="AD227" s="1">
        <v>0.312</v>
      </c>
      <c r="AE227" s="1"/>
      <c r="AF227" s="1"/>
      <c r="AG227" s="1"/>
      <c r="AH227" s="6"/>
      <c r="AI227" s="1"/>
      <c r="AJ227" s="1"/>
      <c r="AK227" s="1"/>
      <c r="AL227" s="1"/>
      <c r="AM227" s="1"/>
      <c r="AN227" s="1"/>
      <c r="AO227" s="1"/>
      <c r="AP227" s="1" t="s">
        <v>79</v>
      </c>
      <c r="AQ227" s="1" t="s">
        <v>61</v>
      </c>
      <c r="AR227" s="1" t="s">
        <v>80</v>
      </c>
      <c r="AS227" s="1"/>
      <c r="AT227" s="1"/>
      <c r="AU227" s="1"/>
      <c r="AV227" s="1"/>
      <c r="AW227" s="1"/>
      <c r="AX227" s="1"/>
      <c r="AY227" s="1"/>
      <c r="AZ227" s="1"/>
      <c r="BA227" s="1"/>
      <c r="BB227" s="1"/>
      <c r="BC227" s="1"/>
      <c r="BD227" s="1"/>
      <c r="BE227" s="1"/>
      <c r="BF227" s="1"/>
      <c r="BG227" s="1"/>
      <c r="BH227" s="1"/>
      <c r="BI227" s="1"/>
      <c r="BJ227" s="1"/>
      <c r="BK227" s="1"/>
    </row>
    <row r="228" spans="1:63" ht="16" thickBot="1" x14ac:dyDescent="0.25">
      <c r="A228" s="3">
        <v>228</v>
      </c>
      <c r="B228" s="25" t="s">
        <v>150</v>
      </c>
      <c r="C228" s="3" t="s">
        <v>543</v>
      </c>
      <c r="D228" s="1" t="s">
        <v>40</v>
      </c>
      <c r="E228" s="1"/>
      <c r="F228" s="3">
        <v>2022</v>
      </c>
      <c r="G228" s="1" t="s">
        <v>48</v>
      </c>
      <c r="H228" s="1" t="s">
        <v>75</v>
      </c>
      <c r="I228" s="27" t="s">
        <v>151</v>
      </c>
      <c r="J228" s="113">
        <f>Table4[[#This Row],[total_cost_npr]]*(1/'Calculations &amp; Assumptions'!$C$6)</f>
        <v>86.096997690531168</v>
      </c>
      <c r="K228" s="113">
        <f>Table4[[#This Row],[system_cost_npr_per_kwp]]*(1/'Calculations &amp; Assumptions'!$C$6)</f>
        <v>1721.9399538106234</v>
      </c>
      <c r="L228" s="23">
        <f>IF(Table4[[#This Row],[total_cost_inr]]&gt;0, Table4[[#This Row],[total_cost_inr]]*'Calculations &amp; Assumptions'!$C$7,IF(Table4[[#This Row],[total_cost_eur]]&gt;0,Table4[[#This Row],[total_cost_eur]]*'Calculations &amp; Assumptions'!$C$5,0))</f>
        <v>11184</v>
      </c>
      <c r="M228" s="77">
        <f>IF(H228="smartmeter_1ph",Table4[[#This Row],[total_cost_npr]],Table4[[#This Row],[total_cost_npr]]/Table4[[#This Row],[pv_kWp]])</f>
        <v>223680</v>
      </c>
      <c r="N228" s="1">
        <v>6990</v>
      </c>
      <c r="O228" s="1">
        <f>Table4[[#This Row],[total_cost_inr]]/Table4[[#This Row],[pv_kWp]]</f>
        <v>139800</v>
      </c>
      <c r="P228" s="1"/>
      <c r="Q228" s="3">
        <f>Table4[[#This Row],[total_cost_eur]]/Table4[[#This Row],[pv_kWp]]</f>
        <v>0</v>
      </c>
      <c r="R228" s="1"/>
      <c r="S228" s="1"/>
      <c r="T228" s="1">
        <v>0.05</v>
      </c>
      <c r="U228" s="1"/>
      <c r="V228" s="1"/>
      <c r="W228" s="1"/>
      <c r="X228" s="1"/>
      <c r="Y228" s="1"/>
      <c r="Z228" s="1"/>
      <c r="AA228" s="1"/>
      <c r="AB228" s="1"/>
      <c r="AC228" s="1"/>
      <c r="AD228" s="1"/>
      <c r="AE228" s="1">
        <v>0.15</v>
      </c>
      <c r="AF228" s="1"/>
      <c r="AG228" s="1"/>
      <c r="AH228" s="6"/>
      <c r="AI228" s="1"/>
      <c r="AJ228" s="1"/>
      <c r="AK228" s="1"/>
      <c r="AL228" s="1"/>
      <c r="AM228" s="1"/>
      <c r="AN228" s="1"/>
      <c r="AO228" s="1"/>
      <c r="AP228" s="1"/>
      <c r="AQ228" s="1" t="s">
        <v>152</v>
      </c>
      <c r="AR228" s="1" t="s">
        <v>61</v>
      </c>
      <c r="AS228" s="1"/>
      <c r="AT228" s="1"/>
      <c r="AU228" s="1"/>
      <c r="AV228" s="1"/>
      <c r="AW228" s="1"/>
      <c r="AX228" s="1"/>
      <c r="AY228" s="1"/>
      <c r="AZ228" s="1"/>
      <c r="BA228" s="1"/>
      <c r="BB228" s="1"/>
      <c r="BC228" s="1"/>
      <c r="BD228" s="1"/>
      <c r="BE228" s="1"/>
      <c r="BF228" s="1"/>
      <c r="BG228" s="1"/>
      <c r="BH228" s="1"/>
      <c r="BI228" s="1"/>
      <c r="BJ228" s="1"/>
      <c r="BK228" s="1"/>
    </row>
    <row r="229" spans="1:63" ht="16" thickBot="1" x14ac:dyDescent="0.25">
      <c r="A229" s="3">
        <v>229</v>
      </c>
      <c r="B229" s="25" t="s">
        <v>154</v>
      </c>
      <c r="C229" s="3" t="s">
        <v>543</v>
      </c>
      <c r="D229" s="1" t="s">
        <v>155</v>
      </c>
      <c r="E229" s="1"/>
      <c r="F229" s="3">
        <v>2022</v>
      </c>
      <c r="G229" s="1" t="s">
        <v>48</v>
      </c>
      <c r="H229" s="1" t="s">
        <v>75</v>
      </c>
      <c r="I229" s="27" t="s">
        <v>156</v>
      </c>
      <c r="J229" s="113">
        <f>Table4[[#This Row],[total_cost_npr]]*(1/'Calculations &amp; Assumptions'!$C$6)</f>
        <v>117.09006928406465</v>
      </c>
      <c r="K229" s="113">
        <f>Table4[[#This Row],[system_cost_npr_per_kwp]]*(1/'Calculations &amp; Assumptions'!$C$6)</f>
        <v>2341.8013856812931</v>
      </c>
      <c r="L229" s="23">
        <f>IF(Table4[[#This Row],[total_cost_inr]]&gt;0, Table4[[#This Row],[total_cost_inr]]*'Calculations &amp; Assumptions'!$C$7,IF(Table4[[#This Row],[total_cost_eur]]&gt;0,Table4[[#This Row],[total_cost_eur]]*'Calculations &amp; Assumptions'!$C$5,0))</f>
        <v>15210</v>
      </c>
      <c r="M229" s="77">
        <f>IF(H229="smartmeter_1ph",Table4[[#This Row],[total_cost_npr]],Table4[[#This Row],[total_cost_npr]]/Table4[[#This Row],[pv_kWp]])</f>
        <v>304200</v>
      </c>
      <c r="N229" s="1"/>
      <c r="O229" s="1"/>
      <c r="P229" s="1">
        <v>117</v>
      </c>
      <c r="Q229" s="3">
        <f>Table4[[#This Row],[total_cost_eur]]/Table4[[#This Row],[pv_kWp]]</f>
        <v>2340</v>
      </c>
      <c r="R229" s="1"/>
      <c r="S229" s="1"/>
      <c r="T229" s="1">
        <v>0.05</v>
      </c>
      <c r="U229" s="1"/>
      <c r="V229" s="1"/>
      <c r="W229" s="1"/>
      <c r="X229" s="1"/>
      <c r="Y229" s="1"/>
      <c r="Z229" s="1"/>
      <c r="AA229" s="1"/>
      <c r="AB229" s="1"/>
      <c r="AC229" s="1"/>
      <c r="AD229" s="1"/>
      <c r="AE229" s="1">
        <v>0.28799999999999998</v>
      </c>
      <c r="AF229" s="1"/>
      <c r="AG229" s="1"/>
      <c r="AH229" s="6"/>
      <c r="AI229" s="1"/>
      <c r="AJ229" s="1"/>
      <c r="AK229" s="1"/>
      <c r="AL229" s="1"/>
      <c r="AM229" s="1"/>
      <c r="AN229" s="1"/>
      <c r="AO229" s="1"/>
      <c r="AP229" s="1"/>
      <c r="AQ229" s="1" t="s">
        <v>149</v>
      </c>
      <c r="AR229" s="1" t="s">
        <v>61</v>
      </c>
      <c r="AS229" s="1"/>
      <c r="AT229" s="1"/>
      <c r="AU229" s="1"/>
      <c r="AV229" s="1"/>
      <c r="AW229" s="1"/>
      <c r="AX229" s="1"/>
      <c r="AY229" s="1"/>
      <c r="AZ229" s="1"/>
      <c r="BA229" s="1"/>
      <c r="BB229" s="1"/>
      <c r="BC229" s="1"/>
      <c r="BD229" s="1"/>
      <c r="BE229" s="1"/>
      <c r="BF229" s="1"/>
      <c r="BG229" s="1"/>
      <c r="BH229" s="1"/>
      <c r="BI229" s="1"/>
      <c r="BJ229" s="1"/>
      <c r="BK229" s="1"/>
    </row>
    <row r="230" spans="1:63" ht="16" thickBot="1" x14ac:dyDescent="0.25">
      <c r="A230" s="3">
        <v>230</v>
      </c>
      <c r="B230" s="26"/>
      <c r="C230" s="3" t="s">
        <v>543</v>
      </c>
      <c r="D230" s="1" t="s">
        <v>155</v>
      </c>
      <c r="E230" s="1"/>
      <c r="F230" s="3">
        <v>2022</v>
      </c>
      <c r="G230" s="1" t="s">
        <v>48</v>
      </c>
      <c r="H230" s="1" t="s">
        <v>75</v>
      </c>
      <c r="I230" s="27" t="s">
        <v>239</v>
      </c>
      <c r="J230" s="113">
        <f>Table4[[#This Row],[total_cost_npr]]*(1/'Calculations &amp; Assumptions'!$C$6)</f>
        <v>199.15319476520398</v>
      </c>
      <c r="K230" s="113">
        <f>Table4[[#This Row],[system_cost_npr_per_kwp]]*(1/'Calculations &amp; Assumptions'!$C$6)</f>
        <v>3983.0638953040798</v>
      </c>
      <c r="L230" s="23">
        <f>IF(Table4[[#This Row],[total_cost_inr]]&gt;0, Table4[[#This Row],[total_cost_inr]]*'Calculations &amp; Assumptions'!$C$7,IF(Table4[[#This Row],[total_cost_eur]]&gt;0,Table4[[#This Row],[total_cost_eur]]*'Calculations &amp; Assumptions'!$C$5,0))</f>
        <v>25870</v>
      </c>
      <c r="M230" s="77">
        <f>IF(H230="smartmeter_1ph",Table4[[#This Row],[total_cost_npr]],Table4[[#This Row],[total_cost_npr]]/Table4[[#This Row],[pv_kWp]])</f>
        <v>517400</v>
      </c>
      <c r="N230" s="1"/>
      <c r="O230" s="1"/>
      <c r="P230" s="1">
        <v>199</v>
      </c>
      <c r="Q230" s="3">
        <f>Table4[[#This Row],[total_cost_eur]]/Table4[[#This Row],[pv_kWp]]</f>
        <v>3980</v>
      </c>
      <c r="R230" s="1"/>
      <c r="S230" s="1"/>
      <c r="T230" s="1">
        <v>0.05</v>
      </c>
      <c r="U230" s="1"/>
      <c r="V230" s="1"/>
      <c r="W230" s="1"/>
      <c r="X230" s="1"/>
      <c r="Y230" s="1"/>
      <c r="Z230" s="1"/>
      <c r="AA230" s="1"/>
      <c r="AB230" s="1"/>
      <c r="AC230" s="1"/>
      <c r="AD230" s="1">
        <v>0.36</v>
      </c>
      <c r="AE230" s="1"/>
      <c r="AF230" s="1"/>
      <c r="AG230" s="1"/>
      <c r="AH230" s="6"/>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row>
    <row r="231" spans="1:63" ht="16" thickBot="1" x14ac:dyDescent="0.25">
      <c r="A231" s="3">
        <v>231</v>
      </c>
      <c r="B231" s="28" t="s">
        <v>241</v>
      </c>
      <c r="C231" s="3" t="s">
        <v>543</v>
      </c>
      <c r="D231" s="1" t="s">
        <v>40</v>
      </c>
      <c r="E231" s="1"/>
      <c r="F231" s="3">
        <v>2022</v>
      </c>
      <c r="G231" s="1" t="s">
        <v>48</v>
      </c>
      <c r="H231" s="1" t="s">
        <v>75</v>
      </c>
      <c r="I231" s="27" t="s">
        <v>242</v>
      </c>
      <c r="J231" s="113">
        <f>Table4[[#This Row],[total_cost_npr]]*(1/'Calculations &amp; Assumptions'!$C$6)</f>
        <v>123.17167051578136</v>
      </c>
      <c r="K231" s="113">
        <f>Table4[[#This Row],[system_cost_npr_per_kwp]]*(1/'Calculations &amp; Assumptions'!$C$6)</f>
        <v>2463.433410315627</v>
      </c>
      <c r="L231" s="23">
        <f>IF(Table4[[#This Row],[total_cost_inr]]&gt;0, Table4[[#This Row],[total_cost_inr]]*'Calculations &amp; Assumptions'!$C$7,IF(Table4[[#This Row],[total_cost_eur]]&gt;0,Table4[[#This Row],[total_cost_eur]]*'Calculations &amp; Assumptions'!$C$5,0))</f>
        <v>16000</v>
      </c>
      <c r="M231" s="77">
        <f>IF(H231="smartmeter_1ph",Table4[[#This Row],[total_cost_npr]],Table4[[#This Row],[total_cost_npr]]/Table4[[#This Row],[pv_kWp]])</f>
        <v>320000</v>
      </c>
      <c r="N231" s="1">
        <v>10000</v>
      </c>
      <c r="O231" s="1">
        <f>Table4[[#This Row],[total_cost_inr]]/Table4[[#This Row],[pv_kWp]]</f>
        <v>200000</v>
      </c>
      <c r="P231" s="1"/>
      <c r="Q231" s="3">
        <f>Table4[[#This Row],[total_cost_eur]]/Table4[[#This Row],[pv_kWp]]</f>
        <v>0</v>
      </c>
      <c r="R231" s="1"/>
      <c r="S231" s="1"/>
      <c r="T231" s="1">
        <v>0.05</v>
      </c>
      <c r="U231" s="1"/>
      <c r="V231" s="1"/>
      <c r="W231" s="1"/>
      <c r="X231" s="1"/>
      <c r="Y231" s="1"/>
      <c r="Z231" s="1"/>
      <c r="AA231" s="1"/>
      <c r="AB231" s="1"/>
      <c r="AC231" s="1"/>
      <c r="AD231" s="1">
        <v>0.3</v>
      </c>
      <c r="AE231" s="1"/>
      <c r="AF231" s="1"/>
      <c r="AG231" s="1"/>
      <c r="AH231" s="6"/>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row>
    <row r="232" spans="1:63" ht="16" thickBot="1" x14ac:dyDescent="0.25">
      <c r="A232" s="3">
        <v>232</v>
      </c>
      <c r="B232" s="3" t="s">
        <v>264</v>
      </c>
      <c r="C232" s="3" t="s">
        <v>543</v>
      </c>
      <c r="D232" s="32" t="s">
        <v>40</v>
      </c>
      <c r="E232" s="32"/>
      <c r="F232" s="3">
        <v>2022</v>
      </c>
      <c r="G232" s="1" t="s">
        <v>48</v>
      </c>
      <c r="H232" s="1" t="s">
        <v>75</v>
      </c>
      <c r="I232" s="32"/>
      <c r="J232" s="113">
        <f>Table4[[#This Row],[total_cost_npr]]*(1/'Calculations &amp; Assumptions'!$C$6)</f>
        <v>146.57428791377981</v>
      </c>
      <c r="K232" s="113">
        <f>Table4[[#This Row],[system_cost_npr_per_kwp]]*(1/'Calculations &amp; Assumptions'!$C$6)</f>
        <v>2931.4857582755963</v>
      </c>
      <c r="L232" s="23">
        <f>IF(Table4[[#This Row],[total_cost_inr]]&gt;0, Table4[[#This Row],[total_cost_inr]]*'Calculations &amp; Assumptions'!$C$7,IF(Table4[[#This Row],[total_cost_eur]]&gt;0,Table4[[#This Row],[total_cost_eur]]*'Calculations &amp; Assumptions'!$C$5,0))</f>
        <v>19040</v>
      </c>
      <c r="M232" s="77">
        <f>IF(H232="smartmeter_1ph",Table4[[#This Row],[total_cost_npr]],Table4[[#This Row],[total_cost_npr]]/Table4[[#This Row],[pv_kWp]])</f>
        <v>380800</v>
      </c>
      <c r="N232" s="89">
        <v>11900</v>
      </c>
      <c r="O232" s="1">
        <f>Table4[[#This Row],[total_cost_inr]]/Table4[[#This Row],[pv_kWp]]</f>
        <v>238000</v>
      </c>
      <c r="P232" s="1"/>
      <c r="Q232" s="3">
        <f>Table4[[#This Row],[total_cost_eur]]/Table4[[#This Row],[pv_kWp]]</f>
        <v>0</v>
      </c>
      <c r="R232" s="1"/>
      <c r="S232" s="1"/>
      <c r="T232" s="30">
        <v>0.05</v>
      </c>
      <c r="U232" s="1"/>
      <c r="V232" s="1"/>
      <c r="W232" s="1"/>
      <c r="X232" s="1"/>
      <c r="Y232" s="1"/>
      <c r="Z232" s="1"/>
      <c r="AA232" s="1"/>
      <c r="AB232" s="1"/>
      <c r="AC232" s="1"/>
      <c r="AD232" s="1"/>
      <c r="AE232" s="1"/>
      <c r="AF232" s="1"/>
      <c r="AG232" s="1"/>
      <c r="AH232" s="6"/>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row>
    <row r="233" spans="1:63" ht="30" thickBot="1" x14ac:dyDescent="0.25">
      <c r="A233" s="3">
        <v>233</v>
      </c>
      <c r="B233" s="3" t="s">
        <v>74</v>
      </c>
      <c r="C233" s="3" t="s">
        <v>543</v>
      </c>
      <c r="D233" s="1" t="s">
        <v>40</v>
      </c>
      <c r="E233" s="1"/>
      <c r="F233" s="3">
        <v>2022</v>
      </c>
      <c r="G233" s="1" t="s">
        <v>48</v>
      </c>
      <c r="H233" s="1" t="s">
        <v>75</v>
      </c>
      <c r="I233" s="1"/>
      <c r="J233" s="113">
        <f>Table4[[#This Row],[total_cost_npr]]*(1/'Calculations &amp; Assumptions'!$C$6)</f>
        <v>62.817551963048494</v>
      </c>
      <c r="K233" s="113">
        <f>Table4[[#This Row],[system_cost_npr_per_kwp]]*(1/'Calculations &amp; Assumptions'!$C$6)</f>
        <v>1570.4387990762123</v>
      </c>
      <c r="L233" s="23">
        <f>IF(Table4[[#This Row],[total_cost_inr]]&gt;0, Table4[[#This Row],[total_cost_inr]]*'Calculations &amp; Assumptions'!$C$7,IF(Table4[[#This Row],[total_cost_eur]]&gt;0,Table4[[#This Row],[total_cost_eur]]*'Calculations &amp; Assumptions'!$C$5,0))</f>
        <v>8160</v>
      </c>
      <c r="M233" s="77">
        <f>IF(H233="smartmeter_1ph",Table4[[#This Row],[total_cost_npr]],Table4[[#This Row],[total_cost_npr]]/Table4[[#This Row],[pv_kWp]])</f>
        <v>204000</v>
      </c>
      <c r="N233" s="89">
        <v>5100</v>
      </c>
      <c r="O233" s="1">
        <f>Table4[[#This Row],[total_cost_inr]]/Table4[[#This Row],[pv_kWp]]</f>
        <v>127500</v>
      </c>
      <c r="P233" s="1"/>
      <c r="Q233" s="3"/>
      <c r="R233" s="1"/>
      <c r="S233" s="1"/>
      <c r="T233" s="1">
        <v>0.04</v>
      </c>
      <c r="U233" s="1"/>
      <c r="V233" s="1"/>
      <c r="W233" s="1"/>
      <c r="X233" s="1"/>
      <c r="Y233" s="1"/>
      <c r="Z233" s="1"/>
      <c r="AA233" s="1"/>
      <c r="AB233" s="1"/>
      <c r="AC233" s="1"/>
      <c r="AD233" s="1">
        <v>9.1999999999999998E-2</v>
      </c>
      <c r="AE233" s="1"/>
      <c r="AF233" s="1"/>
      <c r="AG233" s="1"/>
      <c r="AH233" s="6"/>
      <c r="AI233" s="1"/>
      <c r="AJ233" s="1"/>
      <c r="AK233" s="1"/>
      <c r="AL233" s="1"/>
      <c r="AM233" s="1"/>
      <c r="AN233" s="1"/>
      <c r="AO233" s="1"/>
      <c r="AP233" s="1" t="s">
        <v>78</v>
      </c>
      <c r="AQ233" s="1" t="s">
        <v>61</v>
      </c>
      <c r="AR233" s="1" t="s">
        <v>77</v>
      </c>
      <c r="AS233" s="1"/>
      <c r="AT233" s="1"/>
      <c r="AU233" s="1"/>
      <c r="AV233" s="1"/>
      <c r="AW233" s="1"/>
      <c r="AX233" s="1"/>
      <c r="AY233" s="1"/>
      <c r="AZ233" s="1"/>
      <c r="BA233" s="1"/>
      <c r="BB233" s="1"/>
      <c r="BC233" s="1"/>
      <c r="BD233" s="1"/>
      <c r="BE233" s="1"/>
      <c r="BF233" s="1"/>
      <c r="BG233" s="1"/>
      <c r="BH233" s="1"/>
      <c r="BI233" s="1"/>
      <c r="BJ233" s="1"/>
      <c r="BK233" s="1"/>
    </row>
    <row r="234" spans="1:63" ht="16" thickBot="1" x14ac:dyDescent="0.25">
      <c r="A234" s="3">
        <v>234</v>
      </c>
      <c r="B234" s="25" t="s">
        <v>146</v>
      </c>
      <c r="C234" s="3" t="s">
        <v>543</v>
      </c>
      <c r="D234" s="1" t="s">
        <v>40</v>
      </c>
      <c r="E234" s="1"/>
      <c r="F234" s="3">
        <v>2022</v>
      </c>
      <c r="G234" s="1" t="s">
        <v>48</v>
      </c>
      <c r="H234" s="1" t="s">
        <v>75</v>
      </c>
      <c r="I234" s="27" t="s">
        <v>147</v>
      </c>
      <c r="J234" s="113">
        <f>Table4[[#This Row],[total_cost_npr]]*(1/'Calculations &amp; Assumptions'!$C$6)</f>
        <v>23.094688221709006</v>
      </c>
      <c r="K234" s="113">
        <f>Table4[[#This Row],[system_cost_npr_per_kwp]]*(1/'Calculations &amp; Assumptions'!$C$6)</f>
        <v>769.82294072363345</v>
      </c>
      <c r="L234" s="23">
        <f>IF(Table4[[#This Row],[total_cost_inr]]&gt;0, Table4[[#This Row],[total_cost_inr]]*'Calculations &amp; Assumptions'!$C$7,IF(Table4[[#This Row],[total_cost_eur]]&gt;0,Table4[[#This Row],[total_cost_eur]]*'Calculations &amp; Assumptions'!$C$5,0))</f>
        <v>3000</v>
      </c>
      <c r="M234" s="77">
        <f>IF(H234="smartmeter_1ph",Table4[[#This Row],[total_cost_npr]],Table4[[#This Row],[total_cost_npr]]/Table4[[#This Row],[pv_kWp]])</f>
        <v>100000</v>
      </c>
      <c r="N234" s="1">
        <v>1875</v>
      </c>
      <c r="O234" s="1">
        <f>Table4[[#This Row],[total_cost_inr]]/Table4[[#This Row],[pv_kWp]]</f>
        <v>62500</v>
      </c>
      <c r="P234" s="1"/>
      <c r="Q234" s="3">
        <f>Table4[[#This Row],[total_cost_eur]]/Table4[[#This Row],[pv_kWp]]</f>
        <v>0</v>
      </c>
      <c r="R234" s="1"/>
      <c r="S234" s="1"/>
      <c r="T234" s="1">
        <v>0.03</v>
      </c>
      <c r="U234" s="1"/>
      <c r="V234" s="1"/>
      <c r="W234" s="1"/>
      <c r="X234" s="1"/>
      <c r="Y234" s="1"/>
      <c r="Z234" s="1"/>
      <c r="AA234" s="1"/>
      <c r="AB234" s="1"/>
      <c r="AC234" s="1"/>
      <c r="AD234" s="1"/>
      <c r="AE234" s="1"/>
      <c r="AF234" s="1"/>
      <c r="AG234" s="1"/>
      <c r="AH234" s="6"/>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row>
    <row r="235" spans="1:63" ht="16" thickBot="1" x14ac:dyDescent="0.25">
      <c r="A235" s="3">
        <v>235</v>
      </c>
      <c r="B235" s="26"/>
      <c r="C235" s="3" t="s">
        <v>543</v>
      </c>
      <c r="D235" s="1" t="s">
        <v>155</v>
      </c>
      <c r="E235" s="1"/>
      <c r="F235" s="3">
        <v>2022</v>
      </c>
      <c r="G235" s="1" t="s">
        <v>48</v>
      </c>
      <c r="H235" s="1" t="s">
        <v>75</v>
      </c>
      <c r="I235" s="27" t="s">
        <v>238</v>
      </c>
      <c r="J235" s="113">
        <f>Table4[[#This Row],[total_cost_npr]]*(1/'Calculations &amp; Assumptions'!$C$6)</f>
        <v>76.058506543494985</v>
      </c>
      <c r="K235" s="113">
        <f>Table4[[#This Row],[system_cost_npr_per_kwp]]*(1/'Calculations &amp; Assumptions'!$C$6)</f>
        <v>2535.2835514498333</v>
      </c>
      <c r="L235" s="23">
        <f>IF(Table4[[#This Row],[total_cost_inr]]&gt;0, Table4[[#This Row],[total_cost_inr]]*'Calculations &amp; Assumptions'!$C$7,IF(Table4[[#This Row],[total_cost_eur]]&gt;0,Table4[[#This Row],[total_cost_eur]]*'Calculations &amp; Assumptions'!$C$5,0))</f>
        <v>9880</v>
      </c>
      <c r="M235" s="77">
        <f>IF(H235="smartmeter_1ph",Table4[[#This Row],[total_cost_npr]],Table4[[#This Row],[total_cost_npr]]/Table4[[#This Row],[pv_kWp]])</f>
        <v>329333.33333333337</v>
      </c>
      <c r="N235" s="1"/>
      <c r="O235" s="1"/>
      <c r="P235" s="1">
        <v>76</v>
      </c>
      <c r="Q235" s="3">
        <f>Table4[[#This Row],[total_cost_eur]]/Table4[[#This Row],[pv_kWp]]</f>
        <v>2533.3333333333335</v>
      </c>
      <c r="R235" s="1"/>
      <c r="S235" s="1"/>
      <c r="T235" s="1">
        <v>0.03</v>
      </c>
      <c r="U235" s="1"/>
      <c r="V235" s="1"/>
      <c r="W235" s="1"/>
      <c r="X235" s="1"/>
      <c r="Y235" s="1"/>
      <c r="Z235" s="1"/>
      <c r="AA235" s="1"/>
      <c r="AB235" s="1"/>
      <c r="AC235" s="1"/>
      <c r="AD235" s="1">
        <v>0.14399999999999999</v>
      </c>
      <c r="AE235" s="1"/>
      <c r="AF235" s="1"/>
      <c r="AG235" s="1"/>
      <c r="AH235" s="6"/>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row>
    <row r="236" spans="1:63" ht="16" thickBot="1" x14ac:dyDescent="0.25">
      <c r="A236" s="3">
        <v>236</v>
      </c>
      <c r="B236" s="26"/>
      <c r="C236" s="3" t="s">
        <v>543</v>
      </c>
      <c r="D236" s="1" t="s">
        <v>155</v>
      </c>
      <c r="E236" s="1"/>
      <c r="F236" s="3">
        <v>2022</v>
      </c>
      <c r="G236" s="1" t="s">
        <v>48</v>
      </c>
      <c r="H236" s="1" t="s">
        <v>75</v>
      </c>
      <c r="I236" s="27" t="s">
        <v>238</v>
      </c>
      <c r="J236" s="113">
        <f>Table4[[#This Row],[total_cost_npr]]*(1/'Calculations &amp; Assumptions'!$C$6)</f>
        <v>118.09083910700538</v>
      </c>
      <c r="K236" s="113">
        <f>Table4[[#This Row],[system_cost_npr_per_kwp]]*(1/'Calculations &amp; Assumptions'!$C$6)</f>
        <v>3936.3613035668463</v>
      </c>
      <c r="L236" s="23">
        <f>IF(Table4[[#This Row],[total_cost_inr]]&gt;0, Table4[[#This Row],[total_cost_inr]]*'Calculations &amp; Assumptions'!$C$7,IF(Table4[[#This Row],[total_cost_eur]]&gt;0,Table4[[#This Row],[total_cost_eur]]*'Calculations &amp; Assumptions'!$C$5,0))</f>
        <v>15340</v>
      </c>
      <c r="M236" s="77">
        <f>IF(H236="smartmeter_1ph",Table4[[#This Row],[total_cost_npr]],Table4[[#This Row],[total_cost_npr]]/Table4[[#This Row],[pv_kWp]])</f>
        <v>511333.33333333337</v>
      </c>
      <c r="N236" s="1"/>
      <c r="O236" s="1"/>
      <c r="P236" s="1">
        <v>118</v>
      </c>
      <c r="Q236" s="3">
        <f>Table4[[#This Row],[total_cost_eur]]/Table4[[#This Row],[pv_kWp]]</f>
        <v>3933.3333333333335</v>
      </c>
      <c r="R236" s="1"/>
      <c r="S236" s="1"/>
      <c r="T236" s="1">
        <v>0.03</v>
      </c>
      <c r="U236" s="1"/>
      <c r="V236" s="1"/>
      <c r="W236" s="1"/>
      <c r="X236" s="1"/>
      <c r="Y236" s="1"/>
      <c r="Z236" s="1"/>
      <c r="AA236" s="1"/>
      <c r="AB236" s="1"/>
      <c r="AC236" s="1"/>
      <c r="AD236" s="1">
        <v>0.2</v>
      </c>
      <c r="AE236" s="1"/>
      <c r="AF236" s="1"/>
      <c r="AG236" s="1"/>
      <c r="AH236" s="6"/>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row>
    <row r="237" spans="1:63" ht="30" thickBot="1" x14ac:dyDescent="0.25">
      <c r="A237" s="3">
        <v>237</v>
      </c>
      <c r="B237" s="3" t="s">
        <v>427</v>
      </c>
      <c r="C237" s="3" t="s">
        <v>543</v>
      </c>
      <c r="D237" s="1" t="s">
        <v>155</v>
      </c>
      <c r="E237" s="1"/>
      <c r="F237" s="3">
        <v>2022</v>
      </c>
      <c r="G237" s="1" t="s">
        <v>48</v>
      </c>
      <c r="H237" s="1" t="s">
        <v>75</v>
      </c>
      <c r="I237" s="1"/>
      <c r="J237" s="113">
        <f>Table4[[#This Row],[total_cost_npr]]*(1/'Calculations &amp; Assumptions'!$C$6)</f>
        <v>81.062355658198612</v>
      </c>
      <c r="K237" s="113">
        <f>Table4[[#This Row],[system_cost_npr_per_kwp]]*(1/'Calculations &amp; Assumptions'!$C$6)</f>
        <v>2702.0785219399536</v>
      </c>
      <c r="L237" s="23">
        <f>IF(Table4[[#This Row],[total_cost_inr]]&gt;0, Table4[[#This Row],[total_cost_inr]]*'Calculations &amp; Assumptions'!$C$7,IF(Table4[[#This Row],[total_cost_eur]]&gt;0,Table4[[#This Row],[total_cost_eur]]*'Calculations &amp; Assumptions'!$C$5,0))</f>
        <v>10530</v>
      </c>
      <c r="M237" s="77">
        <f>IF(H237="smartmeter_1ph",Table4[[#This Row],[total_cost_npr]],Table4[[#This Row],[total_cost_npr]]/Table4[[#This Row],[pv_kWp]])</f>
        <v>351000</v>
      </c>
      <c r="N237" s="1"/>
      <c r="O237" s="1"/>
      <c r="P237" s="1">
        <v>81</v>
      </c>
      <c r="Q237" s="3">
        <f>Table4[[#This Row],[total_cost_eur]]/Table4[[#This Row],[pv_kWp]]</f>
        <v>2700</v>
      </c>
      <c r="R237" s="1"/>
      <c r="S237" s="1"/>
      <c r="T237" s="1">
        <v>0.03</v>
      </c>
      <c r="U237" s="1"/>
      <c r="V237" s="1"/>
      <c r="W237" s="1"/>
      <c r="X237" s="1"/>
      <c r="Y237" s="1"/>
      <c r="Z237" s="1"/>
      <c r="AA237" s="1"/>
      <c r="AB237" s="1"/>
      <c r="AC237" s="1"/>
      <c r="AD237" s="1"/>
      <c r="AE237" s="1"/>
      <c r="AF237" s="1"/>
      <c r="AG237" s="1"/>
      <c r="AH237" s="6"/>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row>
    <row r="238" spans="1:63" ht="30" thickBot="1" x14ac:dyDescent="0.25">
      <c r="A238" s="3">
        <v>238</v>
      </c>
      <c r="B238" s="3" t="s">
        <v>74</v>
      </c>
      <c r="C238" s="3" t="s">
        <v>543</v>
      </c>
      <c r="D238" s="1" t="s">
        <v>40</v>
      </c>
      <c r="E238" s="1"/>
      <c r="F238" s="3">
        <v>2022</v>
      </c>
      <c r="G238" s="1" t="s">
        <v>48</v>
      </c>
      <c r="H238" s="1" t="s">
        <v>75</v>
      </c>
      <c r="I238" s="1"/>
      <c r="J238" s="113">
        <f>Table4[[#This Row],[total_cost_npr]]*(1/'Calculations &amp; Assumptions'!$C$6)</f>
        <v>56.658968437259425</v>
      </c>
      <c r="K238" s="113">
        <f>Table4[[#This Row],[system_cost_npr_per_kwp]]*(1/'Calculations &amp; Assumptions'!$C$6)</f>
        <v>2832.9484218629714</v>
      </c>
      <c r="L238" s="23">
        <f>IF(Table4[[#This Row],[total_cost_inr]]&gt;0, Table4[[#This Row],[total_cost_inr]]*'Calculations &amp; Assumptions'!$C$7,IF(Table4[[#This Row],[total_cost_eur]]&gt;0,Table4[[#This Row],[total_cost_eur]]*'Calculations &amp; Assumptions'!$C$5,0))</f>
        <v>7360</v>
      </c>
      <c r="M238" s="77">
        <f>IF(H238="smartmeter_1ph",Table4[[#This Row],[total_cost_npr]],Table4[[#This Row],[total_cost_npr]]/Table4[[#This Row],[pv_kWp]])</f>
        <v>368000</v>
      </c>
      <c r="N238" s="89">
        <v>4600</v>
      </c>
      <c r="O238" s="1">
        <f>Table4[[#This Row],[total_cost_inr]]/Table4[[#This Row],[pv_kWp]]</f>
        <v>230000</v>
      </c>
      <c r="P238" s="1"/>
      <c r="Q238" s="3"/>
      <c r="R238" s="1"/>
      <c r="S238" s="1"/>
      <c r="T238" s="1">
        <v>0.02</v>
      </c>
      <c r="U238" s="1"/>
      <c r="V238" s="1"/>
      <c r="W238" s="1"/>
      <c r="X238" s="1"/>
      <c r="Y238" s="1"/>
      <c r="Z238" s="1"/>
      <c r="AA238" s="1"/>
      <c r="AB238" s="1"/>
      <c r="AC238" s="1"/>
      <c r="AD238" s="1">
        <v>9.1999999999999998E-2</v>
      </c>
      <c r="AE238" s="1"/>
      <c r="AF238" s="1"/>
      <c r="AG238" s="1"/>
      <c r="AH238" s="6"/>
      <c r="AI238" s="1"/>
      <c r="AJ238" s="1"/>
      <c r="AK238" s="1"/>
      <c r="AL238" s="1"/>
      <c r="AM238" s="1"/>
      <c r="AN238" s="1"/>
      <c r="AO238" s="1"/>
      <c r="AP238" s="1" t="s">
        <v>76</v>
      </c>
      <c r="AQ238" s="1" t="s">
        <v>61</v>
      </c>
      <c r="AR238" s="1" t="s">
        <v>77</v>
      </c>
      <c r="AS238" s="1"/>
      <c r="AT238" s="1"/>
      <c r="AU238" s="1"/>
      <c r="AV238" s="1"/>
      <c r="AW238" s="1"/>
      <c r="AX238" s="1"/>
      <c r="AY238" s="1"/>
      <c r="AZ238" s="1"/>
      <c r="BA238" s="1"/>
      <c r="BB238" s="1"/>
      <c r="BC238" s="1"/>
      <c r="BD238" s="1"/>
      <c r="BE238" s="1"/>
      <c r="BF238" s="1"/>
      <c r="BG238" s="1"/>
      <c r="BH238" s="1"/>
      <c r="BI238" s="1"/>
      <c r="BJ238" s="1"/>
      <c r="BK238" s="1"/>
    </row>
    <row r="239" spans="1:63" ht="16" thickBot="1" x14ac:dyDescent="0.25">
      <c r="A239" s="3">
        <v>239</v>
      </c>
      <c r="B239" s="25" t="s">
        <v>153</v>
      </c>
      <c r="C239" s="3" t="s">
        <v>543</v>
      </c>
      <c r="D239" s="1" t="s">
        <v>40</v>
      </c>
      <c r="E239" s="1"/>
      <c r="F239" s="3">
        <v>2022</v>
      </c>
      <c r="G239" s="1" t="s">
        <v>48</v>
      </c>
      <c r="H239" s="1" t="s">
        <v>75</v>
      </c>
      <c r="I239" s="27"/>
      <c r="J239" s="113">
        <f>Table4[[#This Row],[total_cost_npr]]*(1/'Calculations &amp; Assumptions'!$C$6)</f>
        <v>77.598152424942256</v>
      </c>
      <c r="K239" s="113">
        <f>Table4[[#This Row],[system_cost_npr_per_kwp]]*(1/'Calculations &amp; Assumptions'!$C$6)</f>
        <v>3879.9076212471127</v>
      </c>
      <c r="L239" s="23">
        <f>IF(Table4[[#This Row],[total_cost_inr]]&gt;0, Table4[[#This Row],[total_cost_inr]]*'Calculations &amp; Assumptions'!$C$7,IF(Table4[[#This Row],[total_cost_eur]]&gt;0,Table4[[#This Row],[total_cost_eur]]*'Calculations &amp; Assumptions'!$C$5,0))</f>
        <v>10080</v>
      </c>
      <c r="M239" s="77">
        <f>IF(H239="smartmeter_1ph",Table4[[#This Row],[total_cost_npr]],Table4[[#This Row],[total_cost_npr]]/Table4[[#This Row],[pv_kWp]])</f>
        <v>504000</v>
      </c>
      <c r="N239" s="1">
        <v>6300</v>
      </c>
      <c r="O239" s="1">
        <f>Table4[[#This Row],[total_cost_inr]]/Table4[[#This Row],[pv_kWp]]</f>
        <v>315000</v>
      </c>
      <c r="P239" s="1"/>
      <c r="Q239" s="3">
        <f>Table4[[#This Row],[total_cost_eur]]/Table4[[#This Row],[pv_kWp]]</f>
        <v>0</v>
      </c>
      <c r="R239" s="1"/>
      <c r="S239" s="1"/>
      <c r="T239" s="1">
        <v>0.02</v>
      </c>
      <c r="U239" s="1"/>
      <c r="V239" s="1"/>
      <c r="W239" s="1"/>
      <c r="X239" s="1"/>
      <c r="Y239" s="1"/>
      <c r="Z239" s="1"/>
      <c r="AA239" s="1"/>
      <c r="AB239" s="1"/>
      <c r="AC239" s="1"/>
      <c r="AD239" s="1"/>
      <c r="AE239" s="1"/>
      <c r="AF239" s="1"/>
      <c r="AG239" s="1"/>
      <c r="AH239" s="6"/>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row>
    <row r="240" spans="1:63" ht="16" thickBot="1" x14ac:dyDescent="0.25">
      <c r="A240" s="3">
        <v>240</v>
      </c>
      <c r="B240" s="25" t="s">
        <v>154</v>
      </c>
      <c r="C240" s="3" t="s">
        <v>543</v>
      </c>
      <c r="D240" s="1" t="s">
        <v>155</v>
      </c>
      <c r="E240" s="1"/>
      <c r="F240" s="3">
        <v>2022</v>
      </c>
      <c r="G240" s="1" t="s">
        <v>48</v>
      </c>
      <c r="H240" s="1" t="s">
        <v>75</v>
      </c>
      <c r="I240" s="27" t="s">
        <v>156</v>
      </c>
      <c r="J240" s="113">
        <f>Table4[[#This Row],[total_cost_npr]]*(1/'Calculations &amp; Assumptions'!$C$6)</f>
        <v>61.046959199384133</v>
      </c>
      <c r="K240" s="113">
        <f>Table4[[#This Row],[system_cost_npr_per_kwp]]*(1/'Calculations &amp; Assumptions'!$C$6)</f>
        <v>3052.3479599692068</v>
      </c>
      <c r="L240" s="23">
        <f>IF(Table4[[#This Row],[total_cost_inr]]&gt;0, Table4[[#This Row],[total_cost_inr]]*'Calculations &amp; Assumptions'!$C$7,IF(Table4[[#This Row],[total_cost_eur]]&gt;0,Table4[[#This Row],[total_cost_eur]]*'Calculations &amp; Assumptions'!$C$5,0))</f>
        <v>7930</v>
      </c>
      <c r="M240" s="77">
        <f>IF(H240="smartmeter_1ph",Table4[[#This Row],[total_cost_npr]],Table4[[#This Row],[total_cost_npr]]/Table4[[#This Row],[pv_kWp]])</f>
        <v>396500</v>
      </c>
      <c r="N240" s="1"/>
      <c r="O240" s="1"/>
      <c r="P240" s="1">
        <v>61</v>
      </c>
      <c r="Q240" s="3">
        <f>Table4[[#This Row],[total_cost_eur]]/Table4[[#This Row],[pv_kWp]]</f>
        <v>3050</v>
      </c>
      <c r="R240" s="1"/>
      <c r="S240" s="1"/>
      <c r="T240" s="1">
        <v>0.02</v>
      </c>
      <c r="U240" s="1"/>
      <c r="V240" s="1"/>
      <c r="W240" s="1"/>
      <c r="X240" s="1"/>
      <c r="Y240" s="1"/>
      <c r="Z240" s="1"/>
      <c r="AA240" s="1"/>
      <c r="AB240" s="1"/>
      <c r="AC240" s="1"/>
      <c r="AD240" s="1"/>
      <c r="AE240" s="1">
        <v>0.28799999999999998</v>
      </c>
      <c r="AF240" s="1"/>
      <c r="AG240" s="1"/>
      <c r="AH240" s="6"/>
      <c r="AI240" s="1"/>
      <c r="AJ240" s="1"/>
      <c r="AK240" s="1"/>
      <c r="AL240" s="1"/>
      <c r="AM240" s="1"/>
      <c r="AN240" s="1"/>
      <c r="AO240" s="1"/>
      <c r="AP240" s="1"/>
      <c r="AQ240" s="1" t="s">
        <v>149</v>
      </c>
      <c r="AR240" s="1" t="s">
        <v>61</v>
      </c>
      <c r="AS240" s="1"/>
      <c r="AT240" s="1"/>
      <c r="AU240" s="1"/>
      <c r="AV240" s="1"/>
      <c r="AW240" s="1"/>
      <c r="AX240" s="1"/>
      <c r="AY240" s="1"/>
      <c r="AZ240" s="1"/>
      <c r="BA240" s="1"/>
      <c r="BB240" s="1"/>
      <c r="BC240" s="1"/>
      <c r="BD240" s="1"/>
      <c r="BE240" s="1"/>
      <c r="BF240" s="1"/>
      <c r="BG240" s="1"/>
      <c r="BH240" s="1"/>
      <c r="BI240" s="1"/>
      <c r="BJ240" s="1"/>
      <c r="BK240" s="1"/>
    </row>
    <row r="241" spans="1:63" ht="16" thickBot="1" x14ac:dyDescent="0.25">
      <c r="A241" s="3">
        <v>241</v>
      </c>
      <c r="B241" s="26"/>
      <c r="C241" s="3" t="s">
        <v>543</v>
      </c>
      <c r="D241" s="1" t="s">
        <v>155</v>
      </c>
      <c r="E241" s="1"/>
      <c r="F241" s="3">
        <v>2022</v>
      </c>
      <c r="G241" s="1" t="s">
        <v>48</v>
      </c>
      <c r="H241" s="1" t="s">
        <v>75</v>
      </c>
      <c r="I241" s="27" t="s">
        <v>238</v>
      </c>
      <c r="J241" s="113">
        <f>Table4[[#This Row],[total_cost_npr]]*(1/'Calculations &amp; Assumptions'!$C$6)</f>
        <v>66.05080831408776</v>
      </c>
      <c r="K241" s="113">
        <f>Table4[[#This Row],[system_cost_npr_per_kwp]]*(1/'Calculations &amp; Assumptions'!$C$6)</f>
        <v>3302.5404157043877</v>
      </c>
      <c r="L241" s="23">
        <f>IF(Table4[[#This Row],[total_cost_inr]]&gt;0, Table4[[#This Row],[total_cost_inr]]*'Calculations &amp; Assumptions'!$C$7,IF(Table4[[#This Row],[total_cost_eur]]&gt;0,Table4[[#This Row],[total_cost_eur]]*'Calculations &amp; Assumptions'!$C$5,0))</f>
        <v>8580</v>
      </c>
      <c r="M241" s="77">
        <f>IF(H241="smartmeter_1ph",Table4[[#This Row],[total_cost_npr]],Table4[[#This Row],[total_cost_npr]]/Table4[[#This Row],[pv_kWp]])</f>
        <v>429000</v>
      </c>
      <c r="N241" s="1"/>
      <c r="O241" s="1"/>
      <c r="P241" s="1">
        <v>66</v>
      </c>
      <c r="Q241" s="3">
        <f>Table4[[#This Row],[total_cost_eur]]/Table4[[#This Row],[pv_kWp]]</f>
        <v>3300</v>
      </c>
      <c r="R241" s="1"/>
      <c r="S241" s="1"/>
      <c r="T241" s="1">
        <v>0.02</v>
      </c>
      <c r="U241" s="1"/>
      <c r="V241" s="1"/>
      <c r="W241" s="1"/>
      <c r="X241" s="1"/>
      <c r="Y241" s="1"/>
      <c r="Z241" s="1"/>
      <c r="AA241" s="1"/>
      <c r="AB241" s="1"/>
      <c r="AC241" s="1"/>
      <c r="AD241" s="1">
        <v>0.108</v>
      </c>
      <c r="AE241" s="1"/>
      <c r="AF241" s="1"/>
      <c r="AG241" s="1"/>
      <c r="AH241" s="6"/>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row>
    <row r="242" spans="1:63" ht="16" thickBot="1" x14ac:dyDescent="0.25">
      <c r="A242" s="3">
        <v>242</v>
      </c>
      <c r="B242" s="26" t="s">
        <v>244</v>
      </c>
      <c r="C242" s="3" t="s">
        <v>543</v>
      </c>
      <c r="D242" s="1" t="s">
        <v>40</v>
      </c>
      <c r="E242" s="1"/>
      <c r="F242" s="3">
        <v>2022</v>
      </c>
      <c r="G242" s="1" t="s">
        <v>48</v>
      </c>
      <c r="H242" s="1" t="s">
        <v>75</v>
      </c>
      <c r="I242" s="27" t="s">
        <v>245</v>
      </c>
      <c r="J242" s="113">
        <f>Table4[[#This Row],[total_cost_npr]]*(1/'Calculations &amp; Assumptions'!$C$6)</f>
        <v>117.01308698999229</v>
      </c>
      <c r="K242" s="113">
        <f>Table4[[#This Row],[system_cost_npr_per_kwp]]*(1/'Calculations &amp; Assumptions'!$C$6)</f>
        <v>5850.6543494996149</v>
      </c>
      <c r="L242" s="23">
        <f>IF(Table4[[#This Row],[total_cost_inr]]&gt;0, Table4[[#This Row],[total_cost_inr]]*'Calculations &amp; Assumptions'!$C$7,IF(Table4[[#This Row],[total_cost_eur]]&gt;0,Table4[[#This Row],[total_cost_eur]]*'Calculations &amp; Assumptions'!$C$5,0))</f>
        <v>15200</v>
      </c>
      <c r="M242" s="77">
        <f>IF(H242="smartmeter_1ph",Table4[[#This Row],[total_cost_npr]],Table4[[#This Row],[total_cost_npr]]/Table4[[#This Row],[pv_kWp]])</f>
        <v>760000</v>
      </c>
      <c r="N242" s="1">
        <v>9500</v>
      </c>
      <c r="O242" s="1">
        <f>Table4[[#This Row],[total_cost_inr]]/Table4[[#This Row],[pv_kWp]]</f>
        <v>475000</v>
      </c>
      <c r="P242" s="1"/>
      <c r="Q242" s="3">
        <f>Table4[[#This Row],[total_cost_eur]]/Table4[[#This Row],[pv_kWp]]</f>
        <v>0</v>
      </c>
      <c r="R242" s="1"/>
      <c r="S242" s="1"/>
      <c r="T242" s="1">
        <v>0.02</v>
      </c>
      <c r="U242" s="1"/>
      <c r="V242" s="1"/>
      <c r="W242" s="1"/>
      <c r="X242" s="1"/>
      <c r="Y242" s="1"/>
      <c r="Z242" s="1"/>
      <c r="AA242" s="1"/>
      <c r="AB242" s="1"/>
      <c r="AC242" s="1"/>
      <c r="AD242" s="1"/>
      <c r="AE242" s="1"/>
      <c r="AF242" s="1"/>
      <c r="AG242" s="1"/>
      <c r="AH242" s="6"/>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row>
    <row r="243" spans="1:63" ht="16" thickBot="1" x14ac:dyDescent="0.25">
      <c r="A243" s="3">
        <v>243</v>
      </c>
      <c r="B243" s="26" t="s">
        <v>246</v>
      </c>
      <c r="C243" s="3" t="s">
        <v>543</v>
      </c>
      <c r="D243" s="1" t="s">
        <v>40</v>
      </c>
      <c r="E243" s="1"/>
      <c r="F243" s="3">
        <v>2022</v>
      </c>
      <c r="G243" s="1" t="s">
        <v>48</v>
      </c>
      <c r="H243" s="1" t="s">
        <v>75</v>
      </c>
      <c r="I243" s="27" t="s">
        <v>247</v>
      </c>
      <c r="J243" s="113">
        <f>Table4[[#This Row],[total_cost_npr]]*(1/'Calculations &amp; Assumptions'!$C$6)</f>
        <v>110.85450346420322</v>
      </c>
      <c r="K243" s="113">
        <f>Table4[[#This Row],[system_cost_npr_per_kwp]]*(1/'Calculations &amp; Assumptions'!$C$6)</f>
        <v>5542.7251732101613</v>
      </c>
      <c r="L243" s="23">
        <f>IF(Table4[[#This Row],[total_cost_inr]]&gt;0, Table4[[#This Row],[total_cost_inr]]*'Calculations &amp; Assumptions'!$C$7,IF(Table4[[#This Row],[total_cost_eur]]&gt;0,Table4[[#This Row],[total_cost_eur]]*'Calculations &amp; Assumptions'!$C$5,0))</f>
        <v>14400</v>
      </c>
      <c r="M243" s="77">
        <f>IF(H243="smartmeter_1ph",Table4[[#This Row],[total_cost_npr]],Table4[[#This Row],[total_cost_npr]]/Table4[[#This Row],[pv_kWp]])</f>
        <v>720000</v>
      </c>
      <c r="N243" s="1">
        <v>9000</v>
      </c>
      <c r="O243" s="1">
        <f>Table4[[#This Row],[total_cost_inr]]/Table4[[#This Row],[pv_kWp]]</f>
        <v>450000</v>
      </c>
      <c r="P243" s="1"/>
      <c r="Q243" s="3">
        <f>Table4[[#This Row],[total_cost_eur]]/Table4[[#This Row],[pv_kWp]]</f>
        <v>0</v>
      </c>
      <c r="R243" s="1"/>
      <c r="S243" s="1"/>
      <c r="T243" s="1">
        <v>0.02</v>
      </c>
      <c r="U243" s="1"/>
      <c r="V243" s="1"/>
      <c r="W243" s="1"/>
      <c r="X243" s="1"/>
      <c r="Y243" s="1"/>
      <c r="Z243" s="1"/>
      <c r="AA243" s="1"/>
      <c r="AB243" s="1"/>
      <c r="AC243" s="1"/>
      <c r="AD243" s="1"/>
      <c r="AE243" s="1"/>
      <c r="AF243" s="1"/>
      <c r="AG243" s="1"/>
      <c r="AH243" s="6"/>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row>
    <row r="244" spans="1:63" ht="16" thickBot="1" x14ac:dyDescent="0.25">
      <c r="A244" s="3">
        <v>244</v>
      </c>
      <c r="B244" s="26"/>
      <c r="C244" s="3" t="s">
        <v>543</v>
      </c>
      <c r="D244" s="1" t="s">
        <v>155</v>
      </c>
      <c r="E244" s="1"/>
      <c r="F244" s="3">
        <v>2022</v>
      </c>
      <c r="G244" s="1" t="s">
        <v>48</v>
      </c>
      <c r="H244" s="1" t="s">
        <v>75</v>
      </c>
      <c r="I244" s="27" t="s">
        <v>240</v>
      </c>
      <c r="J244" s="113">
        <f>Table4[[#This Row],[total_cost_npr]]*(1/'Calculations &amp; Assumptions'!$C$6)</f>
        <v>60.046189376443415</v>
      </c>
      <c r="K244" s="113">
        <f>Table4[[#This Row],[system_cost_npr_per_kwp]]*(1/'Calculations &amp; Assumptions'!$C$6)</f>
        <v>4003.0792917628942</v>
      </c>
      <c r="L244" s="23">
        <f>IF(Table4[[#This Row],[total_cost_inr]]&gt;0, Table4[[#This Row],[total_cost_inr]]*'Calculations &amp; Assumptions'!$C$7,IF(Table4[[#This Row],[total_cost_eur]]&gt;0,Table4[[#This Row],[total_cost_eur]]*'Calculations &amp; Assumptions'!$C$5,0))</f>
        <v>7800</v>
      </c>
      <c r="M244" s="77">
        <f>IF(H244="smartmeter_1ph",Table4[[#This Row],[total_cost_npr]],Table4[[#This Row],[total_cost_npr]]/Table4[[#This Row],[pv_kWp]])</f>
        <v>520000</v>
      </c>
      <c r="N244" s="1"/>
      <c r="O244" s="1"/>
      <c r="P244" s="1">
        <v>60</v>
      </c>
      <c r="Q244" s="3">
        <f>Table4[[#This Row],[total_cost_eur]]/Table4[[#This Row],[pv_kWp]]</f>
        <v>4000</v>
      </c>
      <c r="R244" s="1"/>
      <c r="S244" s="1"/>
      <c r="T244" s="1">
        <v>1.4999999999999999E-2</v>
      </c>
      <c r="U244" s="1"/>
      <c r="V244" s="1"/>
      <c r="W244" s="1"/>
      <c r="X244" s="1"/>
      <c r="Y244" s="1"/>
      <c r="Z244" s="1"/>
      <c r="AA244" s="1"/>
      <c r="AB244" s="1"/>
      <c r="AC244" s="1"/>
      <c r="AD244" s="1">
        <v>8.4000000000000005E-2</v>
      </c>
      <c r="AE244" s="1"/>
      <c r="AF244" s="1"/>
      <c r="AG244" s="1"/>
      <c r="AH244" s="6"/>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row>
    <row r="245" spans="1:63" ht="30" thickBot="1" x14ac:dyDescent="0.25">
      <c r="A245" s="3">
        <v>245</v>
      </c>
      <c r="B245" s="3" t="s">
        <v>74</v>
      </c>
      <c r="C245" s="3" t="s">
        <v>543</v>
      </c>
      <c r="D245" s="1" t="s">
        <v>40</v>
      </c>
      <c r="E245" s="1"/>
      <c r="F245" s="3">
        <v>2022</v>
      </c>
      <c r="G245" s="1" t="s">
        <v>48</v>
      </c>
      <c r="H245" s="1" t="s">
        <v>75</v>
      </c>
      <c r="I245" s="1"/>
      <c r="J245" s="113">
        <f>Table4[[#This Row],[total_cost_npr]]*(1/'Calculations &amp; Assumptions'!$C$6)</f>
        <v>36.951501154734409</v>
      </c>
      <c r="K245" s="113">
        <f>Table4[[#This Row],[system_cost_npr_per_kwp]]*(1/'Calculations &amp; Assumptions'!$C$6)</f>
        <v>3695.1501154734406</v>
      </c>
      <c r="L245" s="23">
        <f>IF(Table4[[#This Row],[total_cost_inr]]&gt;0, Table4[[#This Row],[total_cost_inr]]*'Calculations &amp; Assumptions'!$C$7,IF(Table4[[#This Row],[total_cost_eur]]&gt;0,Table4[[#This Row],[total_cost_eur]]*'Calculations &amp; Assumptions'!$C$5,0))</f>
        <v>4800</v>
      </c>
      <c r="M245" s="77">
        <f>IF(H245="smartmeter_1ph",Table4[[#This Row],[total_cost_npr]],Table4[[#This Row],[total_cost_npr]]/Table4[[#This Row],[pv_kWp]])</f>
        <v>480000</v>
      </c>
      <c r="N245" s="89">
        <v>3000</v>
      </c>
      <c r="O245" s="1">
        <f>Table4[[#This Row],[total_cost_inr]]/Table4[[#This Row],[pv_kWp]]</f>
        <v>300000</v>
      </c>
      <c r="P245" s="1"/>
      <c r="Q245" s="3"/>
      <c r="R245" s="1"/>
      <c r="S245" s="1"/>
      <c r="T245" s="1">
        <v>0.01</v>
      </c>
      <c r="U245" s="1"/>
      <c r="V245" s="1"/>
      <c r="W245" s="1"/>
      <c r="X245" s="1"/>
      <c r="Y245" s="1"/>
      <c r="Z245" s="1"/>
      <c r="AA245" s="1"/>
      <c r="AB245" s="1"/>
      <c r="AC245" s="1"/>
      <c r="AD245" s="1">
        <v>2.7E-2</v>
      </c>
      <c r="AE245" s="1"/>
      <c r="AF245" s="1"/>
      <c r="AG245" s="1"/>
      <c r="AH245" s="6"/>
      <c r="AI245" s="1"/>
      <c r="AJ245" s="1"/>
      <c r="AK245" s="1"/>
      <c r="AL245" s="1"/>
      <c r="AM245" s="1"/>
      <c r="AN245" s="1"/>
      <c r="AO245" s="1"/>
      <c r="AP245" s="1" t="s">
        <v>76</v>
      </c>
      <c r="AQ245" s="1" t="s">
        <v>61</v>
      </c>
      <c r="AR245" s="1" t="s">
        <v>60</v>
      </c>
      <c r="AS245" s="1"/>
      <c r="AT245" s="1"/>
      <c r="AU245" s="1"/>
      <c r="AV245" s="1"/>
      <c r="AW245" s="1"/>
      <c r="AX245" s="1"/>
      <c r="AY245" s="1"/>
      <c r="AZ245" s="1"/>
      <c r="BA245" s="1"/>
      <c r="BB245" s="1"/>
      <c r="BC245" s="1"/>
      <c r="BD245" s="1"/>
      <c r="BE245" s="1"/>
      <c r="BF245" s="1"/>
      <c r="BG245" s="1"/>
      <c r="BH245" s="1"/>
      <c r="BI245" s="1"/>
      <c r="BJ245" s="1"/>
      <c r="BK245" s="1"/>
    </row>
    <row r="246" spans="1:63" ht="16" thickBot="1" x14ac:dyDescent="0.25">
      <c r="A246" s="3">
        <v>246</v>
      </c>
      <c r="B246" s="25"/>
      <c r="C246" s="3" t="s">
        <v>543</v>
      </c>
      <c r="D246" s="1" t="s">
        <v>40</v>
      </c>
      <c r="E246" s="1"/>
      <c r="F246" s="3">
        <v>2022</v>
      </c>
      <c r="G246" s="1" t="s">
        <v>48</v>
      </c>
      <c r="H246" s="1" t="s">
        <v>75</v>
      </c>
      <c r="I246" s="27" t="s">
        <v>145</v>
      </c>
      <c r="J246" s="113">
        <f>Table4[[#This Row],[total_cost_npr]]*(1/'Calculations &amp; Assumptions'!$C$6)</f>
        <v>21.555042340261739</v>
      </c>
      <c r="K246" s="113">
        <f>Table4[[#This Row],[system_cost_npr_per_kwp]]*(1/'Calculations &amp; Assumptions'!$C$6)</f>
        <v>2155.5042340261739</v>
      </c>
      <c r="L246" s="23">
        <f>IF(Table4[[#This Row],[total_cost_inr]]&gt;0, Table4[[#This Row],[total_cost_inr]]*'Calculations &amp; Assumptions'!$C$7,IF(Table4[[#This Row],[total_cost_eur]]&gt;0,Table4[[#This Row],[total_cost_eur]]*'Calculations &amp; Assumptions'!$C$5,0))</f>
        <v>2800</v>
      </c>
      <c r="M246" s="77">
        <f>IF(H246="smartmeter_1ph",Table4[[#This Row],[total_cost_npr]],Table4[[#This Row],[total_cost_npr]]/Table4[[#This Row],[pv_kWp]])</f>
        <v>280000</v>
      </c>
      <c r="N246" s="1">
        <v>1750</v>
      </c>
      <c r="O246" s="1">
        <f>Table4[[#This Row],[total_cost_inr]]/Table4[[#This Row],[pv_kWp]]</f>
        <v>175000</v>
      </c>
      <c r="P246" s="1"/>
      <c r="Q246" s="3">
        <f>Table4[[#This Row],[total_cost_eur]]/Table4[[#This Row],[pv_kWp]]</f>
        <v>0</v>
      </c>
      <c r="R246" s="1"/>
      <c r="S246" s="1"/>
      <c r="T246" s="1">
        <v>0.01</v>
      </c>
      <c r="U246" s="1"/>
      <c r="V246" s="1"/>
      <c r="W246" s="1"/>
      <c r="X246" s="1"/>
      <c r="Y246" s="1"/>
      <c r="Z246" s="1"/>
      <c r="AA246" s="1"/>
      <c r="AB246" s="1"/>
      <c r="AC246" s="1"/>
      <c r="AD246" s="1"/>
      <c r="AE246" s="1"/>
      <c r="AF246" s="1"/>
      <c r="AG246" s="1"/>
      <c r="AH246" s="6"/>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row>
    <row r="247" spans="1:63" ht="16" thickBot="1" x14ac:dyDescent="0.25">
      <c r="A247" s="3">
        <v>247</v>
      </c>
      <c r="B247" s="25" t="s">
        <v>148</v>
      </c>
      <c r="C247" s="3" t="s">
        <v>543</v>
      </c>
      <c r="D247" s="1" t="s">
        <v>40</v>
      </c>
      <c r="E247" s="1"/>
      <c r="F247" s="3">
        <v>2022</v>
      </c>
      <c r="G247" s="1" t="s">
        <v>48</v>
      </c>
      <c r="H247" s="1" t="s">
        <v>75</v>
      </c>
      <c r="I247" s="27" t="s">
        <v>145</v>
      </c>
      <c r="J247" s="113">
        <f>Table4[[#This Row],[total_cost_npr]]*(1/'Calculations &amp; Assumptions'!$C$6)</f>
        <v>27.713625866050805</v>
      </c>
      <c r="K247" s="113">
        <f>Table4[[#This Row],[system_cost_npr_per_kwp]]*(1/'Calculations &amp; Assumptions'!$C$6)</f>
        <v>2771.3625866050807</v>
      </c>
      <c r="L247" s="23">
        <f>IF(Table4[[#This Row],[total_cost_inr]]&gt;0, Table4[[#This Row],[total_cost_inr]]*'Calculations &amp; Assumptions'!$C$7,IF(Table4[[#This Row],[total_cost_eur]]&gt;0,Table4[[#This Row],[total_cost_eur]]*'Calculations &amp; Assumptions'!$C$5,0))</f>
        <v>3600</v>
      </c>
      <c r="M247" s="77">
        <f>IF(H247="smartmeter_1ph",Table4[[#This Row],[total_cost_npr]],Table4[[#This Row],[total_cost_npr]]/Table4[[#This Row],[pv_kWp]])</f>
        <v>360000</v>
      </c>
      <c r="N247" s="1">
        <v>2250</v>
      </c>
      <c r="O247" s="1">
        <f>Table4[[#This Row],[total_cost_inr]]/Table4[[#This Row],[pv_kWp]]</f>
        <v>225000</v>
      </c>
      <c r="P247" s="1"/>
      <c r="Q247" s="3">
        <f>Table4[[#This Row],[total_cost_eur]]/Table4[[#This Row],[pv_kWp]]</f>
        <v>0</v>
      </c>
      <c r="R247" s="1"/>
      <c r="S247" s="1"/>
      <c r="T247" s="1">
        <v>0.01</v>
      </c>
      <c r="U247" s="1"/>
      <c r="V247" s="1"/>
      <c r="W247" s="1"/>
      <c r="X247" s="1"/>
      <c r="Y247" s="1"/>
      <c r="Z247" s="1"/>
      <c r="AA247" s="1"/>
      <c r="AB247" s="1"/>
      <c r="AC247" s="1"/>
      <c r="AD247" s="1"/>
      <c r="AE247" s="1">
        <f>4.4*12/1000</f>
        <v>5.2800000000000007E-2</v>
      </c>
      <c r="AF247" s="1"/>
      <c r="AG247" s="1"/>
      <c r="AH247" s="6"/>
      <c r="AI247" s="1"/>
      <c r="AJ247" s="1"/>
      <c r="AK247" s="1"/>
      <c r="AL247" s="1"/>
      <c r="AM247" s="1"/>
      <c r="AN247" s="1"/>
      <c r="AO247" s="1"/>
      <c r="AP247" s="1"/>
      <c r="AQ247" s="1" t="s">
        <v>149</v>
      </c>
      <c r="AR247" s="1" t="s">
        <v>61</v>
      </c>
      <c r="AS247" s="1"/>
      <c r="AT247" s="1"/>
      <c r="AU247" s="1"/>
      <c r="AV247" s="1"/>
      <c r="AW247" s="1"/>
      <c r="AX247" s="1"/>
      <c r="AY247" s="1"/>
      <c r="AZ247" s="1"/>
      <c r="BA247" s="1"/>
      <c r="BB247" s="1"/>
      <c r="BC247" s="1"/>
      <c r="BD247" s="1"/>
      <c r="BE247" s="1"/>
      <c r="BF247" s="1"/>
      <c r="BG247" s="1"/>
      <c r="BH247" s="1"/>
      <c r="BI247" s="1"/>
      <c r="BJ247" s="1"/>
      <c r="BK247" s="1"/>
    </row>
    <row r="248" spans="1:63" ht="16" thickBot="1" x14ac:dyDescent="0.25">
      <c r="A248" s="3">
        <v>248</v>
      </c>
      <c r="B248" s="26" t="s">
        <v>236</v>
      </c>
      <c r="C248" s="3" t="s">
        <v>543</v>
      </c>
      <c r="D248" s="1" t="s">
        <v>155</v>
      </c>
      <c r="E248" s="1"/>
      <c r="F248" s="3">
        <v>2022</v>
      </c>
      <c r="G248" s="1" t="s">
        <v>48</v>
      </c>
      <c r="H248" s="1" t="s">
        <v>75</v>
      </c>
      <c r="I248" s="27" t="s">
        <v>237</v>
      </c>
      <c r="J248" s="113">
        <f>Table4[[#This Row],[total_cost_npr]]*(1/'Calculations &amp; Assumptions'!$C$6)</f>
        <v>195.1501154734411</v>
      </c>
      <c r="K248" s="113">
        <f>Table4[[#This Row],[system_cost_npr_per_kwp]]*(1/'Calculations &amp; Assumptions'!$C$6)</f>
        <v>19515.011547344107</v>
      </c>
      <c r="L248" s="23">
        <f>IF(Table4[[#This Row],[total_cost_inr]]&gt;0, Table4[[#This Row],[total_cost_inr]]*'Calculations &amp; Assumptions'!$C$7,IF(Table4[[#This Row],[total_cost_eur]]&gt;0,Table4[[#This Row],[total_cost_eur]]*'Calculations &amp; Assumptions'!$C$5,0))</f>
        <v>25350</v>
      </c>
      <c r="M248" s="77">
        <f>IF(H248="smartmeter_1ph",Table4[[#This Row],[total_cost_npr]],Table4[[#This Row],[total_cost_npr]]/Table4[[#This Row],[pv_kWp]])</f>
        <v>2535000</v>
      </c>
      <c r="N248" s="1"/>
      <c r="O248" s="1"/>
      <c r="P248" s="1">
        <v>195</v>
      </c>
      <c r="Q248" s="3">
        <f>Table4[[#This Row],[total_cost_eur]]/Table4[[#This Row],[pv_kWp]]</f>
        <v>19500</v>
      </c>
      <c r="R248" s="1"/>
      <c r="S248" s="1"/>
      <c r="T248" s="1">
        <v>0.01</v>
      </c>
      <c r="U248" s="1"/>
      <c r="V248" s="1"/>
      <c r="W248" s="1"/>
      <c r="X248" s="1"/>
      <c r="Y248" s="1"/>
      <c r="Z248" s="1"/>
      <c r="AA248" s="1"/>
      <c r="AB248" s="1"/>
      <c r="AC248" s="1"/>
      <c r="AD248" s="1"/>
      <c r="AE248" s="1"/>
      <c r="AF248" s="1"/>
      <c r="AG248" s="1"/>
      <c r="AH248" s="6"/>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row>
    <row r="249" spans="1:63" ht="16" thickBot="1" x14ac:dyDescent="0.25">
      <c r="A249" s="3">
        <v>249</v>
      </c>
      <c r="B249" s="3" t="s">
        <v>266</v>
      </c>
      <c r="C249" s="3" t="s">
        <v>543</v>
      </c>
      <c r="D249" s="32" t="s">
        <v>40</v>
      </c>
      <c r="E249" s="32"/>
      <c r="F249" s="3">
        <v>2022</v>
      </c>
      <c r="G249" s="1" t="s">
        <v>48</v>
      </c>
      <c r="H249" s="1" t="s">
        <v>75</v>
      </c>
      <c r="I249" s="1" t="s">
        <v>266</v>
      </c>
      <c r="J249" s="113">
        <f>Table4[[#This Row],[total_cost_npr]]*(1/'Calculations &amp; Assumptions'!$C$6)</f>
        <v>46.805234795996917</v>
      </c>
      <c r="K249" s="113">
        <f>Table4[[#This Row],[system_cost_npr_per_kwp]]*(1/'Calculations &amp; Assumptions'!$C$6)</f>
        <v>7800.872465999485</v>
      </c>
      <c r="L249" s="23">
        <f>IF(Table4[[#This Row],[total_cost_inr]]&gt;0, Table4[[#This Row],[total_cost_inr]]*'Calculations &amp; Assumptions'!$C$7,IF(Table4[[#This Row],[total_cost_eur]]&gt;0,Table4[[#This Row],[total_cost_eur]]*'Calculations &amp; Assumptions'!$C$5,0))</f>
        <v>6080</v>
      </c>
      <c r="M249" s="77">
        <f>IF(H249="smartmeter_1ph",Table4[[#This Row],[total_cost_npr]],Table4[[#This Row],[total_cost_npr]]/Table4[[#This Row],[pv_kWp]])</f>
        <v>1013333.3333333333</v>
      </c>
      <c r="N249" s="89">
        <v>3800</v>
      </c>
      <c r="O249" s="1">
        <f>Table4[[#This Row],[total_cost_inr]]/Table4[[#This Row],[pv_kWp]]</f>
        <v>633333.33333333337</v>
      </c>
      <c r="P249" s="1"/>
      <c r="Q249" s="3">
        <f>Table4[[#This Row],[total_cost_eur]]/Table4[[#This Row],[pv_kWp]]</f>
        <v>0</v>
      </c>
      <c r="R249" s="1"/>
      <c r="S249" s="1"/>
      <c r="T249" s="30">
        <v>6.0000000000000001E-3</v>
      </c>
      <c r="U249" s="1"/>
      <c r="V249" s="1"/>
      <c r="W249" s="1"/>
      <c r="X249" s="1"/>
      <c r="Y249" s="1"/>
      <c r="Z249" s="1"/>
      <c r="AA249" s="1"/>
      <c r="AB249" s="1"/>
      <c r="AC249" s="1"/>
      <c r="AD249" s="1"/>
      <c r="AE249" s="1"/>
      <c r="AF249" s="1"/>
      <c r="AG249" s="1"/>
      <c r="AH249" s="6"/>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row>
    <row r="250" spans="1:63" ht="16" thickBot="1" x14ac:dyDescent="0.25">
      <c r="A250" s="3">
        <v>250</v>
      </c>
      <c r="B250" s="3" t="s">
        <v>269</v>
      </c>
      <c r="C250" s="3" t="s">
        <v>543</v>
      </c>
      <c r="D250" s="32" t="s">
        <v>40</v>
      </c>
      <c r="E250" s="32"/>
      <c r="F250" s="3">
        <v>2022</v>
      </c>
      <c r="G250" s="1" t="s">
        <v>48</v>
      </c>
      <c r="H250" s="1"/>
      <c r="I250" s="1" t="s">
        <v>270</v>
      </c>
      <c r="J250" s="113">
        <f>Table4[[#This Row],[total_cost_npr]]*(1/'Calculations &amp; Assumptions'!$C$6)</f>
        <v>73.89068514241724</v>
      </c>
      <c r="K250" s="113">
        <f>Table4[[#This Row],[system_cost_npr_per_kwp]]*(1/'Calculations &amp; Assumptions'!$C$6)</f>
        <v>12315.114190402872</v>
      </c>
      <c r="L250" s="23">
        <f>IF(Table4[[#This Row],[total_cost_inr]]&gt;0, Table4[[#This Row],[total_cost_inr]]*'Calculations &amp; Assumptions'!$C$7,IF(Table4[[#This Row],[total_cost_eur]]&gt;0,Table4[[#This Row],[total_cost_eur]]*'Calculations &amp; Assumptions'!$C$5,0))</f>
        <v>9598.4</v>
      </c>
      <c r="M250" s="77">
        <f>IF(H250="smartmeter_1ph",Table4[[#This Row],[total_cost_npr]],Table4[[#This Row],[total_cost_npr]]/Table4[[#This Row],[pv_kWp]])</f>
        <v>1599733.3333333333</v>
      </c>
      <c r="N250" s="89">
        <v>5999</v>
      </c>
      <c r="O250" s="1">
        <f>Table4[[#This Row],[total_cost_inr]]/Table4[[#This Row],[pv_kWp]]</f>
        <v>999833.33333333326</v>
      </c>
      <c r="P250" s="1"/>
      <c r="Q250" s="3">
        <f>Table4[[#This Row],[total_cost_eur]]/Table4[[#This Row],[pv_kWp]]</f>
        <v>0</v>
      </c>
      <c r="R250" s="1"/>
      <c r="S250" s="1"/>
      <c r="T250" s="31">
        <v>6.0000000000000001E-3</v>
      </c>
      <c r="U250" s="1"/>
      <c r="V250" s="1"/>
      <c r="W250" s="1"/>
      <c r="X250" s="1"/>
      <c r="Y250" s="1"/>
      <c r="Z250" s="1"/>
      <c r="AA250" s="1"/>
      <c r="AB250" s="1"/>
      <c r="AC250" s="1"/>
      <c r="AD250" s="1"/>
      <c r="AE250" s="1"/>
      <c r="AF250" s="1"/>
      <c r="AG250" s="1"/>
      <c r="AH250" s="6"/>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row>
    <row r="251" spans="1:63" ht="16" thickBot="1" x14ac:dyDescent="0.25">
      <c r="A251" s="3">
        <v>251</v>
      </c>
      <c r="B251" s="3" t="s">
        <v>39</v>
      </c>
      <c r="C251" s="3" t="s">
        <v>543</v>
      </c>
      <c r="D251" s="1" t="s">
        <v>40</v>
      </c>
      <c r="E251" s="1"/>
      <c r="F251" s="3">
        <v>2022</v>
      </c>
      <c r="G251" s="1" t="s">
        <v>41</v>
      </c>
      <c r="H251" s="1" t="s">
        <v>42</v>
      </c>
      <c r="I251" s="1"/>
      <c r="J251" s="113">
        <f>Table4[[#This Row],[total_cost_npr]]*(1/'Calculations &amp; Assumptions'!$C$6)</f>
        <v>7267.1285604311006</v>
      </c>
      <c r="K251" s="113">
        <f>Table4[[#This Row],[system_cost_npr_per_kwp]]*(1/'Calculations &amp; Assumptions'!$C$6)</f>
        <v>726.71285604311004</v>
      </c>
      <c r="L251" s="23">
        <f>IF(Table4[[#This Row],[total_cost_inr]]&gt;0, Table4[[#This Row],[total_cost_inr]]*'Calculations &amp; Assumptions'!$C$7,IF(Table4[[#This Row],[total_cost_eur]]&gt;0,Table4[[#This Row],[total_cost_eur]]*'Calculations &amp; Assumptions'!$C$5,0))</f>
        <v>944000</v>
      </c>
      <c r="M251" s="77">
        <f>IF(H251="smartmeter_1ph",Table4[[#This Row],[total_cost_npr]],Table4[[#This Row],[total_cost_npr]]/Table4[[#This Row],[pv_kWp]])</f>
        <v>94400</v>
      </c>
      <c r="N251" s="1">
        <v>590000</v>
      </c>
      <c r="O251" s="1">
        <f>Table4[[#This Row],[total_cost_inr]]/Table4[[#This Row],[pv_kWp]]</f>
        <v>59000</v>
      </c>
      <c r="P251" s="1"/>
      <c r="Q251" s="3"/>
      <c r="R251" s="1"/>
      <c r="S251" s="1"/>
      <c r="T251" s="1">
        <v>10</v>
      </c>
      <c r="U251" s="1"/>
      <c r="V251" s="1"/>
      <c r="W251" s="1" t="s">
        <v>43</v>
      </c>
      <c r="X251" s="1"/>
      <c r="Y251" s="1"/>
      <c r="Z251" s="1"/>
      <c r="AA251" s="1"/>
      <c r="AB251" s="1"/>
      <c r="AC251" s="1"/>
      <c r="AD251" s="1"/>
      <c r="AE251" s="1"/>
      <c r="AF251" s="1"/>
      <c r="AG251" s="1"/>
      <c r="AH251" s="6"/>
      <c r="AI251" s="1">
        <v>10</v>
      </c>
      <c r="AJ251" s="1" t="s">
        <v>44</v>
      </c>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row>
    <row r="252" spans="1:63" ht="16" thickBot="1" x14ac:dyDescent="0.25">
      <c r="A252" s="3">
        <v>252</v>
      </c>
      <c r="B252" s="3" t="s">
        <v>39</v>
      </c>
      <c r="C252" s="3" t="s">
        <v>543</v>
      </c>
      <c r="D252" s="1" t="s">
        <v>40</v>
      </c>
      <c r="E252" s="1"/>
      <c r="F252" s="3">
        <v>2022</v>
      </c>
      <c r="G252" s="1" t="s">
        <v>41</v>
      </c>
      <c r="H252" s="1" t="s">
        <v>42</v>
      </c>
      <c r="I252" s="1"/>
      <c r="J252" s="113">
        <f>Table4[[#This Row],[total_cost_npr]]*(1/'Calculations &amp; Assumptions'!$C$6)</f>
        <v>6774.4418783679748</v>
      </c>
      <c r="K252" s="113">
        <f>Table4[[#This Row],[system_cost_npr_per_kwp]]*(1/'Calculations &amp; Assumptions'!$C$6)</f>
        <v>677.44418783679748</v>
      </c>
      <c r="L252" s="23">
        <f>IF(Table4[[#This Row],[total_cost_inr]]&gt;0, Table4[[#This Row],[total_cost_inr]]*'Calculations &amp; Assumptions'!$C$7,IF(Table4[[#This Row],[total_cost_eur]]&gt;0,Table4[[#This Row],[total_cost_eur]]*'Calculations &amp; Assumptions'!$C$5,0))</f>
        <v>880000</v>
      </c>
      <c r="M252" s="77">
        <f>IF(H252="smartmeter_1ph",Table4[[#This Row],[total_cost_npr]],Table4[[#This Row],[total_cost_npr]]/Table4[[#This Row],[pv_kWp]])</f>
        <v>88000</v>
      </c>
      <c r="N252" s="1">
        <v>550000</v>
      </c>
      <c r="O252" s="1">
        <f>Table4[[#This Row],[total_cost_inr]]/Table4[[#This Row],[pv_kWp]]</f>
        <v>55000</v>
      </c>
      <c r="P252" s="1"/>
      <c r="Q252" s="3"/>
      <c r="R252" s="1"/>
      <c r="S252" s="1"/>
      <c r="T252" s="1">
        <v>10</v>
      </c>
      <c r="U252" s="1"/>
      <c r="V252" s="1"/>
      <c r="W252" s="1" t="s">
        <v>45</v>
      </c>
      <c r="X252" s="1"/>
      <c r="Y252" s="1"/>
      <c r="Z252" s="1"/>
      <c r="AA252" s="1"/>
      <c r="AB252" s="1"/>
      <c r="AC252" s="1"/>
      <c r="AD252" s="1"/>
      <c r="AE252" s="1"/>
      <c r="AF252" s="1"/>
      <c r="AG252" s="1"/>
      <c r="AH252" s="6"/>
      <c r="AI252" s="1">
        <v>10</v>
      </c>
      <c r="AJ252" s="1" t="s">
        <v>44</v>
      </c>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row>
    <row r="253" spans="1:63" ht="16" thickBot="1" x14ac:dyDescent="0.25">
      <c r="A253" s="3">
        <v>253</v>
      </c>
      <c r="B253" s="3" t="s">
        <v>39</v>
      </c>
      <c r="C253" s="3" t="s">
        <v>543</v>
      </c>
      <c r="D253" s="1" t="s">
        <v>40</v>
      </c>
      <c r="E253" s="1"/>
      <c r="F253" s="3">
        <v>2022</v>
      </c>
      <c r="G253" s="1" t="s">
        <v>41</v>
      </c>
      <c r="H253" s="1" t="s">
        <v>42</v>
      </c>
      <c r="I253" s="1"/>
      <c r="J253" s="113">
        <f>Table4[[#This Row],[total_cost_npr]]*(1/'Calculations &amp; Assumptions'!$C$6)</f>
        <v>6528.0985373364119</v>
      </c>
      <c r="K253" s="113">
        <f>Table4[[#This Row],[system_cost_npr_per_kwp]]*(1/'Calculations &amp; Assumptions'!$C$6)</f>
        <v>652.80985373364115</v>
      </c>
      <c r="L253" s="23">
        <f>IF(Table4[[#This Row],[total_cost_inr]]&gt;0, Table4[[#This Row],[total_cost_inr]]*'Calculations &amp; Assumptions'!$C$7,IF(Table4[[#This Row],[total_cost_eur]]&gt;0,Table4[[#This Row],[total_cost_eur]]*'Calculations &amp; Assumptions'!$C$5,0))</f>
        <v>848000</v>
      </c>
      <c r="M253" s="77">
        <f>IF(H253="smartmeter_1ph",Table4[[#This Row],[total_cost_npr]],Table4[[#This Row],[total_cost_npr]]/Table4[[#This Row],[pv_kWp]])</f>
        <v>84800</v>
      </c>
      <c r="N253" s="1">
        <v>530000</v>
      </c>
      <c r="O253" s="1">
        <f>Table4[[#This Row],[total_cost_inr]]/Table4[[#This Row],[pv_kWp]]</f>
        <v>53000</v>
      </c>
      <c r="P253" s="1"/>
      <c r="Q253" s="3"/>
      <c r="R253" s="1"/>
      <c r="S253" s="1"/>
      <c r="T253" s="1">
        <v>10</v>
      </c>
      <c r="U253" s="1"/>
      <c r="V253" s="1"/>
      <c r="W253" s="1" t="s">
        <v>43</v>
      </c>
      <c r="X253" s="1"/>
      <c r="Y253" s="1"/>
      <c r="Z253" s="1"/>
      <c r="AA253" s="1"/>
      <c r="AB253" s="1"/>
      <c r="AC253" s="1"/>
      <c r="AD253" s="1"/>
      <c r="AE253" s="1"/>
      <c r="AF253" s="1"/>
      <c r="AG253" s="1"/>
      <c r="AH253" s="6"/>
      <c r="AI253" s="1">
        <v>10</v>
      </c>
      <c r="AJ253" s="1" t="s">
        <v>46</v>
      </c>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row>
    <row r="254" spans="1:63" ht="16" thickBot="1" x14ac:dyDescent="0.25">
      <c r="A254" s="3">
        <v>254</v>
      </c>
      <c r="B254" s="3" t="s">
        <v>39</v>
      </c>
      <c r="C254" s="3" t="s">
        <v>543</v>
      </c>
      <c r="D254" s="1" t="s">
        <v>40</v>
      </c>
      <c r="E254" s="1"/>
      <c r="F254" s="3">
        <v>2022</v>
      </c>
      <c r="G254" s="1" t="s">
        <v>41</v>
      </c>
      <c r="H254" s="1" t="s">
        <v>42</v>
      </c>
      <c r="I254" s="1"/>
      <c r="J254" s="113">
        <f>Table4[[#This Row],[total_cost_npr]]*(1/'Calculations &amp; Assumptions'!$C$6)</f>
        <v>6651.2702078521934</v>
      </c>
      <c r="K254" s="113">
        <f>Table4[[#This Row],[system_cost_npr_per_kwp]]*(1/'Calculations &amp; Assumptions'!$C$6)</f>
        <v>665.12702078521932</v>
      </c>
      <c r="L254" s="23">
        <f>IF(Table4[[#This Row],[total_cost_inr]]&gt;0, Table4[[#This Row],[total_cost_inr]]*'Calculations &amp; Assumptions'!$C$7,IF(Table4[[#This Row],[total_cost_eur]]&gt;0,Table4[[#This Row],[total_cost_eur]]*'Calculations &amp; Assumptions'!$C$5,0))</f>
        <v>864000</v>
      </c>
      <c r="M254" s="77">
        <f>IF(H254="smartmeter_1ph",Table4[[#This Row],[total_cost_npr]],Table4[[#This Row],[total_cost_npr]]/Table4[[#This Row],[pv_kWp]])</f>
        <v>86400</v>
      </c>
      <c r="N254" s="1">
        <v>540000</v>
      </c>
      <c r="O254" s="1">
        <f>Table4[[#This Row],[total_cost_inr]]/Table4[[#This Row],[pv_kWp]]</f>
        <v>54000</v>
      </c>
      <c r="P254" s="1"/>
      <c r="Q254" s="3"/>
      <c r="R254" s="1"/>
      <c r="S254" s="1"/>
      <c r="T254" s="1">
        <v>10</v>
      </c>
      <c r="U254" s="1"/>
      <c r="V254" s="1"/>
      <c r="W254" s="1" t="s">
        <v>45</v>
      </c>
      <c r="X254" s="1"/>
      <c r="Y254" s="1"/>
      <c r="Z254" s="1"/>
      <c r="AA254" s="1"/>
      <c r="AB254" s="1"/>
      <c r="AC254" s="1"/>
      <c r="AD254" s="1"/>
      <c r="AE254" s="1"/>
      <c r="AF254" s="1"/>
      <c r="AG254" s="1"/>
      <c r="AH254" s="6"/>
      <c r="AI254" s="1">
        <v>10</v>
      </c>
      <c r="AJ254" s="1" t="s">
        <v>46</v>
      </c>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row>
    <row r="255" spans="1:63" ht="16" thickBot="1" x14ac:dyDescent="0.25">
      <c r="A255" s="3">
        <v>255</v>
      </c>
      <c r="B255" s="3" t="s">
        <v>39</v>
      </c>
      <c r="C255" s="3" t="s">
        <v>543</v>
      </c>
      <c r="D255" s="1" t="s">
        <v>40</v>
      </c>
      <c r="E255" s="1"/>
      <c r="F255" s="3">
        <v>2022</v>
      </c>
      <c r="G255" s="1" t="s">
        <v>41</v>
      </c>
      <c r="H255" s="1" t="s">
        <v>47</v>
      </c>
      <c r="I255" s="1"/>
      <c r="J255" s="113">
        <f>Table4[[#This Row],[total_cost_npr]]*(1/'Calculations &amp; Assumptions'!$C$6)</f>
        <v>8215.5504234026175</v>
      </c>
      <c r="K255" s="113">
        <f>Table4[[#This Row],[system_cost_npr_per_kwp]]*(1/'Calculations &amp; Assumptions'!$C$6)</f>
        <v>821.55504234026171</v>
      </c>
      <c r="L255" s="23">
        <f>IF(Table4[[#This Row],[total_cost_inr]]&gt;0, Table4[[#This Row],[total_cost_inr]]*'Calculations &amp; Assumptions'!$C$7,IF(Table4[[#This Row],[total_cost_eur]]&gt;0,Table4[[#This Row],[total_cost_eur]]*'Calculations &amp; Assumptions'!$C$5,0))</f>
        <v>1067200</v>
      </c>
      <c r="M255" s="77">
        <f>IF(H255="smartmeter_1ph",Table4[[#This Row],[total_cost_npr]],Table4[[#This Row],[total_cost_npr]]/Table4[[#This Row],[pv_kWp]])</f>
        <v>106720</v>
      </c>
      <c r="N255" s="1">
        <v>667000</v>
      </c>
      <c r="O255" s="1">
        <f>Table4[[#This Row],[total_cost_inr]]/Table4[[#This Row],[pv_kWp]]</f>
        <v>66700</v>
      </c>
      <c r="P255" s="1"/>
      <c r="Q255" s="3"/>
      <c r="R255" s="1"/>
      <c r="S255" s="1"/>
      <c r="T255" s="1">
        <v>10</v>
      </c>
      <c r="U255" s="1"/>
      <c r="V255" s="1"/>
      <c r="W255" s="1" t="s">
        <v>45</v>
      </c>
      <c r="X255" s="1"/>
      <c r="Y255" s="1"/>
      <c r="Z255" s="1"/>
      <c r="AA255" s="1"/>
      <c r="AB255" s="1"/>
      <c r="AC255" s="1"/>
      <c r="AD255" s="1"/>
      <c r="AE255" s="1"/>
      <c r="AF255" s="1"/>
      <c r="AG255" s="1"/>
      <c r="AH255" s="6"/>
      <c r="AI255" s="1">
        <v>10</v>
      </c>
      <c r="AJ255" s="1" t="s">
        <v>44</v>
      </c>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row>
    <row r="256" spans="1:63" ht="16" thickBot="1" x14ac:dyDescent="0.25">
      <c r="A256" s="3">
        <v>256</v>
      </c>
      <c r="B256" s="3" t="s">
        <v>39</v>
      </c>
      <c r="C256" s="3" t="s">
        <v>543</v>
      </c>
      <c r="D256" s="1" t="s">
        <v>40</v>
      </c>
      <c r="E256" s="1"/>
      <c r="F256" s="1">
        <v>2022</v>
      </c>
      <c r="G256" s="1" t="s">
        <v>41</v>
      </c>
      <c r="H256" s="1" t="s">
        <v>47</v>
      </c>
      <c r="I256" s="1"/>
      <c r="J256" s="113">
        <f>Table4[[#This Row],[total_cost_npr]]*(1/'Calculations &amp; Assumptions'!$C$6)</f>
        <v>1034.6420323325633</v>
      </c>
      <c r="K256" s="113">
        <f>Table4[[#This Row],[system_cost_npr_per_kwp]]*(1/'Calculations &amp; Assumptions'!$C$6)</f>
        <v>1034.6420323325633</v>
      </c>
      <c r="L256" s="23">
        <f>IF(Table4[[#This Row],[total_cost_inr]]&gt;0, Table4[[#This Row],[total_cost_inr]]*'Calculations &amp; Assumptions'!$C$7,IF(Table4[[#This Row],[total_cost_eur]]&gt;0,Table4[[#This Row],[total_cost_eur]]*'Calculations &amp; Assumptions'!$C$5,0))</f>
        <v>134400</v>
      </c>
      <c r="M256" s="77">
        <f>IF(H256="smartmeter_1ph",Table4[[#This Row],[total_cost_npr]],Table4[[#This Row],[total_cost_npr]]/Table4[[#This Row],[pv_kWp]])</f>
        <v>134400</v>
      </c>
      <c r="N256" s="1">
        <v>84000</v>
      </c>
      <c r="O256" s="1">
        <f>Table4[[#This Row],[total_cost_inr]]/Table4[[#This Row],[pv_kWp]]</f>
        <v>84000</v>
      </c>
      <c r="P256" s="1"/>
      <c r="Q256" s="3"/>
      <c r="R256" s="1"/>
      <c r="S256" s="1"/>
      <c r="T256" s="1">
        <v>1</v>
      </c>
      <c r="U256" s="1"/>
      <c r="V256" s="1"/>
      <c r="W256" s="1" t="s">
        <v>45</v>
      </c>
      <c r="X256" s="1"/>
      <c r="Y256" s="1"/>
      <c r="Z256" s="1"/>
      <c r="AA256" s="1"/>
      <c r="AB256" s="1"/>
      <c r="AC256" s="1"/>
      <c r="AD256" s="1"/>
      <c r="AE256" s="1"/>
      <c r="AF256" s="1"/>
      <c r="AG256" s="1"/>
      <c r="AH256" s="6"/>
      <c r="AI256" s="1">
        <v>1</v>
      </c>
      <c r="AJ256" s="1" t="s">
        <v>44</v>
      </c>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row>
    <row r="257" spans="1:63" ht="16" thickBot="1" x14ac:dyDescent="0.25">
      <c r="A257" s="3">
        <v>257</v>
      </c>
      <c r="B257" s="3" t="s">
        <v>39</v>
      </c>
      <c r="C257" s="3" t="s">
        <v>543</v>
      </c>
      <c r="D257" s="1" t="s">
        <v>40</v>
      </c>
      <c r="E257" s="1"/>
      <c r="F257" s="1">
        <v>2022</v>
      </c>
      <c r="G257" s="1" t="s">
        <v>41</v>
      </c>
      <c r="H257" s="1" t="s">
        <v>42</v>
      </c>
      <c r="I257" s="1"/>
      <c r="J257" s="113">
        <f>Table4[[#This Row],[total_cost_npr]]*(1/'Calculations &amp; Assumptions'!$C$6)</f>
        <v>960.73903002309464</v>
      </c>
      <c r="K257" s="113">
        <f>Table4[[#This Row],[system_cost_npr_per_kwp]]*(1/'Calculations &amp; Assumptions'!$C$6)</f>
        <v>960.73903002309464</v>
      </c>
      <c r="L257" s="23">
        <f>IF(Table4[[#This Row],[total_cost_inr]]&gt;0, Table4[[#This Row],[total_cost_inr]]*'Calculations &amp; Assumptions'!$C$7,IF(Table4[[#This Row],[total_cost_eur]]&gt;0,Table4[[#This Row],[total_cost_eur]]*'Calculations &amp; Assumptions'!$C$5,0))</f>
        <v>124800</v>
      </c>
      <c r="M257" s="77">
        <f>IF(H257="smartmeter_1ph",Table4[[#This Row],[total_cost_npr]],Table4[[#This Row],[total_cost_npr]]/Table4[[#This Row],[pv_kWp]])</f>
        <v>124800</v>
      </c>
      <c r="N257" s="1">
        <v>78000</v>
      </c>
      <c r="O257" s="1">
        <f>Table4[[#This Row],[total_cost_inr]]/Table4[[#This Row],[pv_kWp]]</f>
        <v>78000</v>
      </c>
      <c r="P257" s="1"/>
      <c r="Q257" s="3"/>
      <c r="R257" s="1"/>
      <c r="S257" s="1"/>
      <c r="T257" s="1">
        <v>1</v>
      </c>
      <c r="U257" s="1"/>
      <c r="V257" s="1"/>
      <c r="W257" s="1" t="s">
        <v>43</v>
      </c>
      <c r="X257" s="1"/>
      <c r="Y257" s="1"/>
      <c r="Z257" s="1"/>
      <c r="AA257" s="1"/>
      <c r="AB257" s="1"/>
      <c r="AC257" s="1"/>
      <c r="AD257" s="1"/>
      <c r="AE257" s="1"/>
      <c r="AF257" s="1"/>
      <c r="AG257" s="1"/>
      <c r="AH257" s="6"/>
      <c r="AI257" s="1">
        <v>1</v>
      </c>
      <c r="AJ257" s="1" t="s">
        <v>44</v>
      </c>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row>
    <row r="258" spans="1:63" ht="16" thickBot="1" x14ac:dyDescent="0.25">
      <c r="A258" s="3">
        <v>258</v>
      </c>
      <c r="B258" s="3" t="s">
        <v>39</v>
      </c>
      <c r="C258" s="3" t="s">
        <v>543</v>
      </c>
      <c r="D258" s="1" t="s">
        <v>40</v>
      </c>
      <c r="E258" s="1"/>
      <c r="F258" s="1">
        <v>2022</v>
      </c>
      <c r="G258" s="1" t="s">
        <v>41</v>
      </c>
      <c r="H258" s="1" t="s">
        <v>47</v>
      </c>
      <c r="I258" s="1"/>
      <c r="J258" s="113">
        <f>Table4[[#This Row],[total_cost_npr]]*(1/'Calculations &amp; Assumptions'!$C$6)</f>
        <v>1157.8137028483447</v>
      </c>
      <c r="K258" s="113">
        <f>Table4[[#This Row],[system_cost_npr_per_kwp]]*(1/'Calculations &amp; Assumptions'!$C$6)</f>
        <v>1157.8137028483447</v>
      </c>
      <c r="L258" s="23">
        <f>IF(Table4[[#This Row],[total_cost_inr]]&gt;0, Table4[[#This Row],[total_cost_inr]]*'Calculations &amp; Assumptions'!$C$7,IF(Table4[[#This Row],[total_cost_eur]]&gt;0,Table4[[#This Row],[total_cost_eur]]*'Calculations &amp; Assumptions'!$C$5,0))</f>
        <v>150400</v>
      </c>
      <c r="M258" s="77">
        <f>IF(H258="smartmeter_1ph",Table4[[#This Row],[total_cost_npr]],Table4[[#This Row],[total_cost_npr]]/Table4[[#This Row],[pv_kWp]])</f>
        <v>150400</v>
      </c>
      <c r="N258" s="1">
        <v>94000</v>
      </c>
      <c r="O258" s="1">
        <f>Table4[[#This Row],[total_cost_inr]]/Table4[[#This Row],[pv_kWp]]</f>
        <v>94000</v>
      </c>
      <c r="P258" s="1"/>
      <c r="Q258" s="3"/>
      <c r="R258" s="1"/>
      <c r="S258" s="1"/>
      <c r="T258" s="1">
        <v>1</v>
      </c>
      <c r="U258" s="1"/>
      <c r="V258" s="1"/>
      <c r="W258" s="1" t="s">
        <v>45</v>
      </c>
      <c r="X258" s="1"/>
      <c r="Y258" s="1"/>
      <c r="Z258" s="1"/>
      <c r="AA258" s="1"/>
      <c r="AB258" s="1"/>
      <c r="AC258" s="1"/>
      <c r="AD258" s="1"/>
      <c r="AE258" s="1"/>
      <c r="AF258" s="1"/>
      <c r="AG258" s="1"/>
      <c r="AH258" s="6"/>
      <c r="AI258" s="1">
        <v>1</v>
      </c>
      <c r="AJ258" s="1" t="s">
        <v>44</v>
      </c>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row>
    <row r="259" spans="1:63" ht="16" thickBot="1" x14ac:dyDescent="0.25">
      <c r="A259" s="3">
        <v>259</v>
      </c>
      <c r="B259" s="3" t="s">
        <v>39</v>
      </c>
      <c r="C259" s="3" t="s">
        <v>543</v>
      </c>
      <c r="D259" s="1" t="s">
        <v>40</v>
      </c>
      <c r="E259" s="1"/>
      <c r="F259" s="1">
        <v>2022</v>
      </c>
      <c r="G259" s="1" t="s">
        <v>41</v>
      </c>
      <c r="H259" s="1" t="s">
        <v>42</v>
      </c>
      <c r="I259" s="1"/>
      <c r="J259" s="113">
        <f>Table4[[#This Row],[total_cost_npr]]*(1/'Calculations &amp; Assumptions'!$C$6)</f>
        <v>985.37336412625086</v>
      </c>
      <c r="K259" s="113">
        <f>Table4[[#This Row],[system_cost_npr_per_kwp]]*(1/'Calculations &amp; Assumptions'!$C$6)</f>
        <v>985.37336412625086</v>
      </c>
      <c r="L259" s="23">
        <f>IF(Table4[[#This Row],[total_cost_inr]]&gt;0, Table4[[#This Row],[total_cost_inr]]*'Calculations &amp; Assumptions'!$C$7,IF(Table4[[#This Row],[total_cost_eur]]&gt;0,Table4[[#This Row],[total_cost_eur]]*'Calculations &amp; Assumptions'!$C$5,0))</f>
        <v>128000</v>
      </c>
      <c r="M259" s="77">
        <f>IF(H259="smartmeter_1ph",Table4[[#This Row],[total_cost_npr]],Table4[[#This Row],[total_cost_npr]]/Table4[[#This Row],[pv_kWp]])</f>
        <v>128000</v>
      </c>
      <c r="N259" s="1">
        <v>80000</v>
      </c>
      <c r="O259" s="1">
        <f>Table4[[#This Row],[total_cost_inr]]/Table4[[#This Row],[pv_kWp]]</f>
        <v>80000</v>
      </c>
      <c r="P259" s="1"/>
      <c r="Q259" s="3"/>
      <c r="R259" s="1"/>
      <c r="S259" s="1"/>
      <c r="T259" s="1">
        <v>1</v>
      </c>
      <c r="U259" s="1"/>
      <c r="V259" s="1"/>
      <c r="W259" s="1" t="s">
        <v>45</v>
      </c>
      <c r="X259" s="1"/>
      <c r="Y259" s="1"/>
      <c r="Z259" s="1"/>
      <c r="AA259" s="1"/>
      <c r="AB259" s="1"/>
      <c r="AC259" s="1"/>
      <c r="AD259" s="1"/>
      <c r="AE259" s="1"/>
      <c r="AF259" s="1"/>
      <c r="AG259" s="1"/>
      <c r="AH259" s="6"/>
      <c r="AI259" s="1">
        <v>1</v>
      </c>
      <c r="AJ259" s="1" t="s">
        <v>46</v>
      </c>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row>
    <row r="260" spans="1:63" ht="16" thickBot="1" x14ac:dyDescent="0.25">
      <c r="A260" s="3">
        <v>260</v>
      </c>
      <c r="B260" s="3" t="s">
        <v>59</v>
      </c>
      <c r="C260" s="3" t="s">
        <v>543</v>
      </c>
      <c r="D260" s="1" t="s">
        <v>40</v>
      </c>
      <c r="E260" s="1"/>
      <c r="F260" s="1">
        <v>2022</v>
      </c>
      <c r="G260" s="1" t="s">
        <v>41</v>
      </c>
      <c r="H260" s="1" t="s">
        <v>42</v>
      </c>
      <c r="I260" s="1"/>
      <c r="J260" s="113">
        <f>Table4[[#This Row],[total_cost_npr]]*(1/'Calculations &amp; Assumptions'!$C$6)</f>
        <v>1299.4611239414933</v>
      </c>
      <c r="K260" s="113">
        <f>Table4[[#This Row],[system_cost_npr_per_kwp]]*(1/'Calculations &amp; Assumptions'!$C$6)</f>
        <v>1299.4611239414933</v>
      </c>
      <c r="L260" s="23">
        <f>IF(Table4[[#This Row],[total_cost_inr]]&gt;0, Table4[[#This Row],[total_cost_inr]]*'Calculations &amp; Assumptions'!$C$7,IF(Table4[[#This Row],[total_cost_eur]]&gt;0,Table4[[#This Row],[total_cost_eur]]*'Calculations &amp; Assumptions'!$C$5,0))</f>
        <v>168800</v>
      </c>
      <c r="M260" s="77">
        <f>IF(H260="smartmeter_1ph",Table4[[#This Row],[total_cost_npr]],Table4[[#This Row],[total_cost_npr]]/Table4[[#This Row],[pv_kWp]])</f>
        <v>168800</v>
      </c>
      <c r="N260" s="89">
        <v>105500</v>
      </c>
      <c r="O260" s="90">
        <f>Table4[[#This Row],[total_cost_inr]]/Table4[[#This Row],[pv_kWp]]</f>
        <v>105500</v>
      </c>
      <c r="P260" s="90"/>
      <c r="Q260" s="17"/>
      <c r="R260" s="90"/>
      <c r="S260" s="90"/>
      <c r="T260" s="1">
        <f t="shared" ref="T260:T279" si="0">AI260</f>
        <v>1</v>
      </c>
      <c r="U260" s="1"/>
      <c r="V260" s="1"/>
      <c r="W260" s="1"/>
      <c r="X260" s="1"/>
      <c r="Y260" s="1"/>
      <c r="Z260" s="1"/>
      <c r="AA260" s="1"/>
      <c r="AB260" s="1"/>
      <c r="AC260" s="1"/>
      <c r="AD260" s="1"/>
      <c r="AE260" s="1"/>
      <c r="AF260" s="1"/>
      <c r="AG260" s="1"/>
      <c r="AH260" s="6"/>
      <c r="AI260" s="1">
        <v>1</v>
      </c>
      <c r="AJ260" s="1"/>
      <c r="AK260" s="1" t="s">
        <v>60</v>
      </c>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row>
    <row r="261" spans="1:63" ht="16" thickBot="1" x14ac:dyDescent="0.25">
      <c r="A261" s="3">
        <v>261</v>
      </c>
      <c r="B261" s="3" t="s">
        <v>59</v>
      </c>
      <c r="C261" s="3" t="s">
        <v>543</v>
      </c>
      <c r="D261" s="1" t="s">
        <v>40</v>
      </c>
      <c r="E261" s="1"/>
      <c r="F261" s="1">
        <v>2022</v>
      </c>
      <c r="G261" s="1" t="s">
        <v>41</v>
      </c>
      <c r="H261" s="1" t="s">
        <v>42</v>
      </c>
      <c r="I261" s="1"/>
      <c r="J261" s="113">
        <f>Table4[[#This Row],[total_cost_npr]]*(1/'Calculations &amp; Assumptions'!$C$6)</f>
        <v>1659.122401847575</v>
      </c>
      <c r="K261" s="113">
        <f>Table4[[#This Row],[system_cost_npr_per_kwp]]*(1/'Calculations &amp; Assumptions'!$C$6)</f>
        <v>829.56120092378751</v>
      </c>
      <c r="L261" s="23">
        <f>IF(Table4[[#This Row],[total_cost_inr]]&gt;0, Table4[[#This Row],[total_cost_inr]]*'Calculations &amp; Assumptions'!$C$7,IF(Table4[[#This Row],[total_cost_eur]]&gt;0,Table4[[#This Row],[total_cost_eur]]*'Calculations &amp; Assumptions'!$C$5,0))</f>
        <v>215520</v>
      </c>
      <c r="M261" s="77">
        <f>IF(H261="smartmeter_1ph",Table4[[#This Row],[total_cost_npr]],Table4[[#This Row],[total_cost_npr]]/Table4[[#This Row],[pv_kWp]])</f>
        <v>107760</v>
      </c>
      <c r="N261" s="89">
        <v>134700</v>
      </c>
      <c r="O261" s="90">
        <f>Table4[[#This Row],[total_cost_inr]]/Table4[[#This Row],[pv_kWp]]</f>
        <v>67350</v>
      </c>
      <c r="P261" s="90"/>
      <c r="Q261" s="17"/>
      <c r="R261" s="90"/>
      <c r="S261" s="90"/>
      <c r="T261" s="1">
        <f t="shared" si="0"/>
        <v>2</v>
      </c>
      <c r="U261" s="1"/>
      <c r="V261" s="1"/>
      <c r="W261" s="1"/>
      <c r="X261" s="1"/>
      <c r="Y261" s="1"/>
      <c r="Z261" s="1"/>
      <c r="AA261" s="1"/>
      <c r="AB261" s="1"/>
      <c r="AC261" s="1"/>
      <c r="AD261" s="1"/>
      <c r="AE261" s="1"/>
      <c r="AF261" s="1"/>
      <c r="AG261" s="1"/>
      <c r="AH261" s="6"/>
      <c r="AI261" s="1">
        <v>2</v>
      </c>
      <c r="AJ261" s="1"/>
      <c r="AK261" s="1" t="s">
        <v>60</v>
      </c>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row>
    <row r="262" spans="1:63" ht="16" thickBot="1" x14ac:dyDescent="0.25">
      <c r="A262" s="3">
        <v>262</v>
      </c>
      <c r="B262" s="3" t="s">
        <v>59</v>
      </c>
      <c r="C262" s="3" t="s">
        <v>543</v>
      </c>
      <c r="D262" s="1" t="s">
        <v>40</v>
      </c>
      <c r="E262" s="1"/>
      <c r="F262" s="1">
        <v>2022</v>
      </c>
      <c r="G262" s="1" t="s">
        <v>41</v>
      </c>
      <c r="H262" s="1" t="s">
        <v>42</v>
      </c>
      <c r="I262" s="1"/>
      <c r="J262" s="113">
        <f>Table4[[#This Row],[total_cost_npr]]*(1/'Calculations &amp; Assumptions'!$C$6)</f>
        <v>2230.6389530408005</v>
      </c>
      <c r="K262" s="113">
        <f>Table4[[#This Row],[system_cost_npr_per_kwp]]*(1/'Calculations &amp; Assumptions'!$C$6)</f>
        <v>743.54631768026684</v>
      </c>
      <c r="L262" s="23">
        <f>IF(Table4[[#This Row],[total_cost_inr]]&gt;0, Table4[[#This Row],[total_cost_inr]]*'Calculations &amp; Assumptions'!$C$7,IF(Table4[[#This Row],[total_cost_eur]]&gt;0,Table4[[#This Row],[total_cost_eur]]*'Calculations &amp; Assumptions'!$C$5,0))</f>
        <v>289760</v>
      </c>
      <c r="M262" s="77">
        <f>IF(H262="smartmeter_1ph",Table4[[#This Row],[total_cost_npr]],Table4[[#This Row],[total_cost_npr]]/Table4[[#This Row],[pv_kWp]])</f>
        <v>96586.666666666672</v>
      </c>
      <c r="N262" s="89">
        <v>181100</v>
      </c>
      <c r="O262" s="90">
        <f>Table4[[#This Row],[total_cost_inr]]/Table4[[#This Row],[pv_kWp]]</f>
        <v>60366.666666666664</v>
      </c>
      <c r="P262" s="90"/>
      <c r="Q262" s="17"/>
      <c r="R262" s="90"/>
      <c r="S262" s="90"/>
      <c r="T262" s="1">
        <f t="shared" si="0"/>
        <v>3</v>
      </c>
      <c r="U262" s="1"/>
      <c r="V262" s="1"/>
      <c r="W262" s="1"/>
      <c r="X262" s="1"/>
      <c r="Y262" s="1"/>
      <c r="Z262" s="1"/>
      <c r="AA262" s="1"/>
      <c r="AB262" s="1"/>
      <c r="AC262" s="1"/>
      <c r="AD262" s="1"/>
      <c r="AE262" s="1"/>
      <c r="AF262" s="1"/>
      <c r="AG262" s="1"/>
      <c r="AH262" s="6"/>
      <c r="AI262" s="1">
        <v>3</v>
      </c>
      <c r="AJ262" s="1"/>
      <c r="AK262" s="1" t="s">
        <v>60</v>
      </c>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row>
    <row r="263" spans="1:63" ht="16" thickBot="1" x14ac:dyDescent="0.25">
      <c r="A263" s="3">
        <v>263</v>
      </c>
      <c r="B263" s="3" t="s">
        <v>59</v>
      </c>
      <c r="C263" s="3" t="s">
        <v>543</v>
      </c>
      <c r="D263" s="1" t="s">
        <v>40</v>
      </c>
      <c r="E263" s="1"/>
      <c r="F263" s="1">
        <v>2022</v>
      </c>
      <c r="G263" s="1" t="s">
        <v>41</v>
      </c>
      <c r="H263" s="1" t="s">
        <v>42</v>
      </c>
      <c r="I263" s="1"/>
      <c r="J263" s="113">
        <f>Table4[[#This Row],[total_cost_npr]]*(1/'Calculations &amp; Assumptions'!$C$6)</f>
        <v>2676.5204003079289</v>
      </c>
      <c r="K263" s="113">
        <f>Table4[[#This Row],[system_cost_npr_per_kwp]]*(1/'Calculations &amp; Assumptions'!$C$6)</f>
        <v>892.17346676930958</v>
      </c>
      <c r="L263" s="23">
        <f>IF(Table4[[#This Row],[total_cost_inr]]&gt;0, Table4[[#This Row],[total_cost_inr]]*'Calculations &amp; Assumptions'!$C$7,IF(Table4[[#This Row],[total_cost_eur]]&gt;0,Table4[[#This Row],[total_cost_eur]]*'Calculations &amp; Assumptions'!$C$5,0))</f>
        <v>347680</v>
      </c>
      <c r="M263" s="77">
        <f>IF(H263="smartmeter_1ph",Table4[[#This Row],[total_cost_npr]],Table4[[#This Row],[total_cost_npr]]/Table4[[#This Row],[pv_kWp]])</f>
        <v>115893.33333333333</v>
      </c>
      <c r="N263" s="89">
        <v>217300</v>
      </c>
      <c r="O263" s="90">
        <f>Table4[[#This Row],[total_cost_inr]]/Table4[[#This Row],[pv_kWp]]</f>
        <v>72433.333333333328</v>
      </c>
      <c r="P263" s="90"/>
      <c r="Q263" s="17"/>
      <c r="R263" s="90"/>
      <c r="S263" s="90"/>
      <c r="T263" s="1">
        <f t="shared" si="0"/>
        <v>3</v>
      </c>
      <c r="U263" s="1"/>
      <c r="V263" s="1"/>
      <c r="W263" s="1"/>
      <c r="X263" s="1"/>
      <c r="Y263" s="1"/>
      <c r="Z263" s="1"/>
      <c r="AA263" s="1"/>
      <c r="AB263" s="1"/>
      <c r="AC263" s="1"/>
      <c r="AD263" s="1"/>
      <c r="AE263" s="1"/>
      <c r="AF263" s="1"/>
      <c r="AG263" s="1"/>
      <c r="AH263" s="6"/>
      <c r="AI263" s="1">
        <v>3</v>
      </c>
      <c r="AJ263" s="1"/>
      <c r="AK263" s="1" t="s">
        <v>61</v>
      </c>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row>
    <row r="264" spans="1:63" ht="16" thickBot="1" x14ac:dyDescent="0.25">
      <c r="A264" s="3">
        <v>264</v>
      </c>
      <c r="B264" s="3" t="s">
        <v>59</v>
      </c>
      <c r="C264" s="3" t="s">
        <v>543</v>
      </c>
      <c r="D264" s="1" t="s">
        <v>40</v>
      </c>
      <c r="E264" s="1"/>
      <c r="F264" s="1">
        <v>2022</v>
      </c>
      <c r="G264" s="1" t="s">
        <v>41</v>
      </c>
      <c r="H264" s="1" t="s">
        <v>42</v>
      </c>
      <c r="I264" s="1"/>
      <c r="J264" s="113">
        <f>Table4[[#This Row],[total_cost_npr]]*(1/'Calculations &amp; Assumptions'!$C$6)</f>
        <v>3147.0361816782138</v>
      </c>
      <c r="K264" s="113">
        <f>Table4[[#This Row],[system_cost_npr_per_kwp]]*(1/'Calculations &amp; Assumptions'!$C$6)</f>
        <v>629.40723633564278</v>
      </c>
      <c r="L264" s="23">
        <f>IF(Table4[[#This Row],[total_cost_inr]]&gt;0, Table4[[#This Row],[total_cost_inr]]*'Calculations &amp; Assumptions'!$C$7,IF(Table4[[#This Row],[total_cost_eur]]&gt;0,Table4[[#This Row],[total_cost_eur]]*'Calculations &amp; Assumptions'!$C$5,0))</f>
        <v>408800</v>
      </c>
      <c r="M264" s="77">
        <f>IF(H264="smartmeter_1ph",Table4[[#This Row],[total_cost_npr]],Table4[[#This Row],[total_cost_npr]]/Table4[[#This Row],[pv_kWp]])</f>
        <v>81760</v>
      </c>
      <c r="N264" s="89">
        <v>255500</v>
      </c>
      <c r="O264" s="90">
        <f>Table4[[#This Row],[total_cost_inr]]/Table4[[#This Row],[pv_kWp]]</f>
        <v>51100</v>
      </c>
      <c r="P264" s="90"/>
      <c r="Q264" s="17"/>
      <c r="R264" s="90"/>
      <c r="S264" s="90"/>
      <c r="T264" s="1">
        <f t="shared" si="0"/>
        <v>5</v>
      </c>
      <c r="U264" s="1"/>
      <c r="V264" s="1"/>
      <c r="W264" s="1"/>
      <c r="X264" s="1"/>
      <c r="Y264" s="1"/>
      <c r="Z264" s="1"/>
      <c r="AA264" s="1"/>
      <c r="AB264" s="1"/>
      <c r="AC264" s="1"/>
      <c r="AD264" s="1"/>
      <c r="AE264" s="1"/>
      <c r="AF264" s="1"/>
      <c r="AG264" s="1"/>
      <c r="AH264" s="6"/>
      <c r="AI264" s="1">
        <v>5</v>
      </c>
      <c r="AJ264" s="1"/>
      <c r="AK264" s="1" t="s">
        <v>60</v>
      </c>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row>
    <row r="265" spans="1:63" ht="16" thickBot="1" x14ac:dyDescent="0.25">
      <c r="A265" s="3">
        <v>265</v>
      </c>
      <c r="B265" s="3" t="s">
        <v>59</v>
      </c>
      <c r="C265" s="3" t="s">
        <v>543</v>
      </c>
      <c r="D265" s="1" t="s">
        <v>40</v>
      </c>
      <c r="E265" s="1"/>
      <c r="F265" s="1">
        <v>2022</v>
      </c>
      <c r="G265" s="1" t="s">
        <v>41</v>
      </c>
      <c r="H265" s="1" t="s">
        <v>42</v>
      </c>
      <c r="I265" s="1"/>
      <c r="J265" s="113">
        <f>Table4[[#This Row],[total_cost_npr]]*(1/'Calculations &amp; Assumptions'!$C$6)</f>
        <v>3776.4434180138564</v>
      </c>
      <c r="K265" s="113">
        <f>Table4[[#This Row],[system_cost_npr_per_kwp]]*(1/'Calculations &amp; Assumptions'!$C$6)</f>
        <v>755.28868360277124</v>
      </c>
      <c r="L265" s="23">
        <f>IF(Table4[[#This Row],[total_cost_inr]]&gt;0, Table4[[#This Row],[total_cost_inr]]*'Calculations &amp; Assumptions'!$C$7,IF(Table4[[#This Row],[total_cost_eur]]&gt;0,Table4[[#This Row],[total_cost_eur]]*'Calculations &amp; Assumptions'!$C$5,0))</f>
        <v>490560</v>
      </c>
      <c r="M265" s="77">
        <f>IF(H265="smartmeter_1ph",Table4[[#This Row],[total_cost_npr]],Table4[[#This Row],[total_cost_npr]]/Table4[[#This Row],[pv_kWp]])</f>
        <v>98112</v>
      </c>
      <c r="N265" s="89">
        <v>306600</v>
      </c>
      <c r="O265" s="90">
        <f>Table4[[#This Row],[total_cost_inr]]/Table4[[#This Row],[pv_kWp]]</f>
        <v>61320</v>
      </c>
      <c r="P265" s="90"/>
      <c r="Q265" s="17"/>
      <c r="R265" s="90"/>
      <c r="S265" s="90"/>
      <c r="T265" s="1">
        <f t="shared" si="0"/>
        <v>5</v>
      </c>
      <c r="U265" s="1"/>
      <c r="V265" s="1"/>
      <c r="W265" s="1"/>
      <c r="X265" s="1"/>
      <c r="Y265" s="1"/>
      <c r="Z265" s="1"/>
      <c r="AA265" s="1"/>
      <c r="AB265" s="1"/>
      <c r="AC265" s="1"/>
      <c r="AD265" s="1"/>
      <c r="AE265" s="1"/>
      <c r="AF265" s="1"/>
      <c r="AG265" s="1"/>
      <c r="AH265" s="6"/>
      <c r="AI265" s="1">
        <v>5</v>
      </c>
      <c r="AJ265" s="1"/>
      <c r="AK265" s="1" t="s">
        <v>61</v>
      </c>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row>
    <row r="266" spans="1:63" ht="16" thickBot="1" x14ac:dyDescent="0.25">
      <c r="A266" s="3">
        <v>266</v>
      </c>
      <c r="B266" s="3" t="s">
        <v>59</v>
      </c>
      <c r="C266" s="3" t="s">
        <v>543</v>
      </c>
      <c r="D266" s="1" t="s">
        <v>40</v>
      </c>
      <c r="E266" s="1"/>
      <c r="F266" s="1">
        <v>2022</v>
      </c>
      <c r="G266" s="1" t="s">
        <v>41</v>
      </c>
      <c r="H266" s="1" t="s">
        <v>42</v>
      </c>
      <c r="I266" s="1"/>
      <c r="J266" s="113">
        <f>Table4[[#This Row],[total_cost_npr]]*(1/'Calculations &amp; Assumptions'!$C$6)</f>
        <v>4373.8260200153964</v>
      </c>
      <c r="K266" s="113">
        <f>Table4[[#This Row],[system_cost_npr_per_kwp]]*(1/'Calculations &amp; Assumptions'!$C$6)</f>
        <v>583.17680266871946</v>
      </c>
      <c r="L266" s="23">
        <f>IF(Table4[[#This Row],[total_cost_inr]]&gt;0, Table4[[#This Row],[total_cost_inr]]*'Calculations &amp; Assumptions'!$C$7,IF(Table4[[#This Row],[total_cost_eur]]&gt;0,Table4[[#This Row],[total_cost_eur]]*'Calculations &amp; Assumptions'!$C$5,0))</f>
        <v>568160</v>
      </c>
      <c r="M266" s="77">
        <f>IF(H266="smartmeter_1ph",Table4[[#This Row],[total_cost_npr]],Table4[[#This Row],[total_cost_npr]]/Table4[[#This Row],[pv_kWp]])</f>
        <v>75754.666666666672</v>
      </c>
      <c r="N266" s="89">
        <v>355100</v>
      </c>
      <c r="O266" s="90">
        <f>Table4[[#This Row],[total_cost_inr]]/Table4[[#This Row],[pv_kWp]]</f>
        <v>47346.666666666664</v>
      </c>
      <c r="P266" s="90"/>
      <c r="Q266" s="17"/>
      <c r="R266" s="90"/>
      <c r="S266" s="90"/>
      <c r="T266" s="1">
        <f t="shared" si="0"/>
        <v>7.5</v>
      </c>
      <c r="U266" s="1"/>
      <c r="V266" s="1"/>
      <c r="W266" s="1"/>
      <c r="X266" s="1"/>
      <c r="Y266" s="1"/>
      <c r="Z266" s="1"/>
      <c r="AA266" s="1"/>
      <c r="AB266" s="1"/>
      <c r="AC266" s="1"/>
      <c r="AD266" s="1"/>
      <c r="AE266" s="1"/>
      <c r="AF266" s="1"/>
      <c r="AG266" s="1"/>
      <c r="AH266" s="6"/>
      <c r="AI266" s="1">
        <v>7.5</v>
      </c>
      <c r="AJ266" s="1"/>
      <c r="AK266" s="1" t="s">
        <v>60</v>
      </c>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row>
    <row r="267" spans="1:63" ht="16" thickBot="1" x14ac:dyDescent="0.25">
      <c r="A267" s="3">
        <v>267</v>
      </c>
      <c r="B267" s="3" t="s">
        <v>59</v>
      </c>
      <c r="C267" s="3" t="s">
        <v>543</v>
      </c>
      <c r="D267" s="1" t="s">
        <v>40</v>
      </c>
      <c r="E267" s="1"/>
      <c r="F267" s="1">
        <v>2022</v>
      </c>
      <c r="G267" s="1" t="s">
        <v>41</v>
      </c>
      <c r="H267" s="1" t="s">
        <v>42</v>
      </c>
      <c r="I267" s="1"/>
      <c r="J267" s="113">
        <f>Table4[[#This Row],[total_cost_npr]]*(1/'Calculations &amp; Assumptions'!$C$6)</f>
        <v>5029.099307159353</v>
      </c>
      <c r="K267" s="113">
        <f>Table4[[#This Row],[system_cost_npr_per_kwp]]*(1/'Calculations &amp; Assumptions'!$C$6)</f>
        <v>670.5465742879137</v>
      </c>
      <c r="L267" s="23">
        <f>IF(Table4[[#This Row],[total_cost_inr]]&gt;0, Table4[[#This Row],[total_cost_inr]]*'Calculations &amp; Assumptions'!$C$7,IF(Table4[[#This Row],[total_cost_eur]]&gt;0,Table4[[#This Row],[total_cost_eur]]*'Calculations &amp; Assumptions'!$C$5,0))</f>
        <v>653280</v>
      </c>
      <c r="M267" s="77">
        <f>IF(H267="smartmeter_1ph",Table4[[#This Row],[total_cost_npr]],Table4[[#This Row],[total_cost_npr]]/Table4[[#This Row],[pv_kWp]])</f>
        <v>87104</v>
      </c>
      <c r="N267" s="89">
        <v>408300</v>
      </c>
      <c r="O267" s="90">
        <f>Table4[[#This Row],[total_cost_inr]]/Table4[[#This Row],[pv_kWp]]</f>
        <v>54440</v>
      </c>
      <c r="P267" s="90"/>
      <c r="Q267" s="17"/>
      <c r="R267" s="90"/>
      <c r="S267" s="90"/>
      <c r="T267" s="1">
        <f t="shared" si="0"/>
        <v>7.5</v>
      </c>
      <c r="U267" s="1"/>
      <c r="V267" s="1"/>
      <c r="W267" s="1"/>
      <c r="X267" s="1"/>
      <c r="Y267" s="1"/>
      <c r="Z267" s="1"/>
      <c r="AA267" s="1"/>
      <c r="AB267" s="1"/>
      <c r="AC267" s="1"/>
      <c r="AD267" s="1"/>
      <c r="AE267" s="1"/>
      <c r="AF267" s="1"/>
      <c r="AG267" s="1"/>
      <c r="AH267" s="6"/>
      <c r="AI267" s="1">
        <v>7.5</v>
      </c>
      <c r="AJ267" s="1"/>
      <c r="AK267" s="1" t="s">
        <v>61</v>
      </c>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row>
    <row r="268" spans="1:63" ht="16" thickBot="1" x14ac:dyDescent="0.25">
      <c r="A268" s="3">
        <v>268</v>
      </c>
      <c r="B268" s="3" t="s">
        <v>59</v>
      </c>
      <c r="C268" s="3" t="s">
        <v>543</v>
      </c>
      <c r="D268" s="1" t="s">
        <v>40</v>
      </c>
      <c r="E268" s="1"/>
      <c r="F268" s="1">
        <v>2022</v>
      </c>
      <c r="G268" s="1" t="s">
        <v>41</v>
      </c>
      <c r="H268" s="1" t="s">
        <v>42</v>
      </c>
      <c r="I268" s="1"/>
      <c r="J268" s="113">
        <f>Table4[[#This Row],[total_cost_npr]]*(1/'Calculations &amp; Assumptions'!$C$6)</f>
        <v>5471.2856043110078</v>
      </c>
      <c r="K268" s="113">
        <f>Table4[[#This Row],[system_cost_npr_per_kwp]]*(1/'Calculations &amp; Assumptions'!$C$6)</f>
        <v>547.12856043110082</v>
      </c>
      <c r="L268" s="23">
        <f>IF(Table4[[#This Row],[total_cost_inr]]&gt;0, Table4[[#This Row],[total_cost_inr]]*'Calculations &amp; Assumptions'!$C$7,IF(Table4[[#This Row],[total_cost_eur]]&gt;0,Table4[[#This Row],[total_cost_eur]]*'Calculations &amp; Assumptions'!$C$5,0))</f>
        <v>710720</v>
      </c>
      <c r="M268" s="77">
        <f>IF(H268="smartmeter_1ph",Table4[[#This Row],[total_cost_npr]],Table4[[#This Row],[total_cost_npr]]/Table4[[#This Row],[pv_kWp]])</f>
        <v>71072</v>
      </c>
      <c r="N268" s="89">
        <v>444200</v>
      </c>
      <c r="O268" s="90">
        <f>Table4[[#This Row],[total_cost_inr]]/Table4[[#This Row],[pv_kWp]]</f>
        <v>44420</v>
      </c>
      <c r="P268" s="90"/>
      <c r="Q268" s="17"/>
      <c r="R268" s="90"/>
      <c r="S268" s="90"/>
      <c r="T268" s="1">
        <f t="shared" si="0"/>
        <v>10</v>
      </c>
      <c r="U268" s="1"/>
      <c r="V268" s="1"/>
      <c r="W268" s="1"/>
      <c r="X268" s="1"/>
      <c r="Y268" s="1"/>
      <c r="Z268" s="1"/>
      <c r="AA268" s="1"/>
      <c r="AB268" s="1"/>
      <c r="AC268" s="1"/>
      <c r="AD268" s="1"/>
      <c r="AE268" s="1"/>
      <c r="AF268" s="1"/>
      <c r="AG268" s="1"/>
      <c r="AH268" s="6"/>
      <c r="AI268" s="1">
        <v>10</v>
      </c>
      <c r="AJ268" s="1"/>
      <c r="AK268" s="1" t="s">
        <v>60</v>
      </c>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row>
    <row r="269" spans="1:63" ht="16" thickBot="1" x14ac:dyDescent="0.25">
      <c r="A269" s="3">
        <v>269</v>
      </c>
      <c r="B269" s="3" t="s">
        <v>59</v>
      </c>
      <c r="C269" s="3" t="s">
        <v>543</v>
      </c>
      <c r="D269" s="1" t="s">
        <v>40</v>
      </c>
      <c r="E269" s="1"/>
      <c r="F269" s="1">
        <v>2022</v>
      </c>
      <c r="G269" s="1" t="s">
        <v>41</v>
      </c>
      <c r="H269" s="1" t="s">
        <v>42</v>
      </c>
      <c r="I269" s="1"/>
      <c r="J269" s="113">
        <f>Table4[[#This Row],[total_cost_npr]]*(1/'Calculations &amp; Assumptions'!$C$6)</f>
        <v>6291.6089299461119</v>
      </c>
      <c r="K269" s="113">
        <f>Table4[[#This Row],[system_cost_npr_per_kwp]]*(1/'Calculations &amp; Assumptions'!$C$6)</f>
        <v>629.16089299461123</v>
      </c>
      <c r="L269" s="23">
        <f>IF(Table4[[#This Row],[total_cost_inr]]&gt;0, Table4[[#This Row],[total_cost_inr]]*'Calculations &amp; Assumptions'!$C$7,IF(Table4[[#This Row],[total_cost_eur]]&gt;0,Table4[[#This Row],[total_cost_eur]]*'Calculations &amp; Assumptions'!$C$5,0))</f>
        <v>817280</v>
      </c>
      <c r="M269" s="77">
        <f>IF(H269="smartmeter_1ph",Table4[[#This Row],[total_cost_npr]],Table4[[#This Row],[total_cost_npr]]/Table4[[#This Row],[pv_kWp]])</f>
        <v>81728</v>
      </c>
      <c r="N269" s="89">
        <v>510800</v>
      </c>
      <c r="O269" s="90">
        <f>Table4[[#This Row],[total_cost_inr]]/Table4[[#This Row],[pv_kWp]]</f>
        <v>51080</v>
      </c>
      <c r="P269" s="90"/>
      <c r="Q269" s="17"/>
      <c r="R269" s="90"/>
      <c r="S269" s="90"/>
      <c r="T269" s="1">
        <f t="shared" si="0"/>
        <v>10</v>
      </c>
      <c r="U269" s="1"/>
      <c r="V269" s="1"/>
      <c r="W269" s="1"/>
      <c r="X269" s="1"/>
      <c r="Y269" s="1"/>
      <c r="Z269" s="1"/>
      <c r="AA269" s="1"/>
      <c r="AB269" s="1"/>
      <c r="AC269" s="1"/>
      <c r="AD269" s="1"/>
      <c r="AE269" s="1"/>
      <c r="AF269" s="1"/>
      <c r="AG269" s="1"/>
      <c r="AH269" s="6"/>
      <c r="AI269" s="1">
        <v>10</v>
      </c>
      <c r="AJ269" s="1"/>
      <c r="AK269" s="1" t="s">
        <v>61</v>
      </c>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row>
    <row r="270" spans="1:63" ht="16" thickBot="1" x14ac:dyDescent="0.25">
      <c r="A270" s="3">
        <v>270</v>
      </c>
      <c r="B270" s="3" t="s">
        <v>59</v>
      </c>
      <c r="C270" s="3" t="s">
        <v>543</v>
      </c>
      <c r="D270" s="1" t="s">
        <v>40</v>
      </c>
      <c r="E270" s="1"/>
      <c r="F270" s="1">
        <v>2021</v>
      </c>
      <c r="G270" s="1" t="s">
        <v>41</v>
      </c>
      <c r="H270" s="1" t="s">
        <v>42</v>
      </c>
      <c r="I270" s="1"/>
      <c r="J270" s="113">
        <f>Table4[[#This Row],[total_cost_npr]]*(1/'Calculations &amp; Assumptions'!$C$6)</f>
        <v>1193.2501924557353</v>
      </c>
      <c r="K270" s="113">
        <f>Table4[[#This Row],[system_cost_npr_per_kwp]]*(1/'Calculations &amp; Assumptions'!$C$6)</f>
        <v>1193.2501924557353</v>
      </c>
      <c r="L270" s="23">
        <f>IF(Table4[[#This Row],[total_cost_inr]]&gt;0, Table4[[#This Row],[total_cost_inr]]*'Calculations &amp; Assumptions'!$C$7,IF(Table4[[#This Row],[total_cost_eur]]&gt;0,Table4[[#This Row],[total_cost_eur]]*'Calculations &amp; Assumptions'!$C$5,0))</f>
        <v>155003.20000000001</v>
      </c>
      <c r="M270" s="77">
        <f>IF(H270="smartmeter_1ph",Table4[[#This Row],[total_cost_npr]],Table4[[#This Row],[total_cost_npr]]/Table4[[#This Row],[pv_kWp]])</f>
        <v>155003.20000000001</v>
      </c>
      <c r="N270" s="89">
        <v>96877</v>
      </c>
      <c r="O270" s="90">
        <f>Table4[[#This Row],[total_cost_inr]]/Table4[[#This Row],[pv_kWp]]</f>
        <v>96877</v>
      </c>
      <c r="P270" s="90"/>
      <c r="Q270" s="17"/>
      <c r="R270" s="90"/>
      <c r="S270" s="90"/>
      <c r="T270" s="1">
        <f t="shared" si="0"/>
        <v>1</v>
      </c>
      <c r="U270" s="1"/>
      <c r="V270" s="1"/>
      <c r="W270" s="1"/>
      <c r="X270" s="1"/>
      <c r="Y270" s="1"/>
      <c r="Z270" s="1"/>
      <c r="AA270" s="1"/>
      <c r="AB270" s="1"/>
      <c r="AC270" s="1"/>
      <c r="AD270" s="1"/>
      <c r="AE270" s="1"/>
      <c r="AF270" s="1"/>
      <c r="AG270" s="1"/>
      <c r="AH270" s="6"/>
      <c r="AI270" s="1">
        <v>1</v>
      </c>
      <c r="AJ270" s="1"/>
      <c r="AK270" s="1" t="s">
        <v>60</v>
      </c>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row>
    <row r="271" spans="1:63" ht="16" thickBot="1" x14ac:dyDescent="0.25">
      <c r="A271" s="3">
        <v>271</v>
      </c>
      <c r="B271" s="3" t="s">
        <v>59</v>
      </c>
      <c r="C271" s="3" t="s">
        <v>543</v>
      </c>
      <c r="D271" s="1" t="s">
        <v>40</v>
      </c>
      <c r="E271" s="1"/>
      <c r="F271" s="1">
        <v>2021</v>
      </c>
      <c r="G271" s="1" t="s">
        <v>41</v>
      </c>
      <c r="H271" s="1" t="s">
        <v>42</v>
      </c>
      <c r="I271" s="1"/>
      <c r="J271" s="113">
        <f>Table4[[#This Row],[total_cost_npr]]*(1/'Calculations &amp; Assumptions'!$C$6)</f>
        <v>1523.5227097767513</v>
      </c>
      <c r="K271" s="113">
        <f>Table4[[#This Row],[system_cost_npr_per_kwp]]*(1/'Calculations &amp; Assumptions'!$C$6)</f>
        <v>761.76135488837565</v>
      </c>
      <c r="L271" s="23">
        <f>IF(Table4[[#This Row],[total_cost_inr]]&gt;0, Table4[[#This Row],[total_cost_inr]]*'Calculations &amp; Assumptions'!$C$7,IF(Table4[[#This Row],[total_cost_eur]]&gt;0,Table4[[#This Row],[total_cost_eur]]*'Calculations &amp; Assumptions'!$C$5,0))</f>
        <v>197905.6</v>
      </c>
      <c r="M271" s="77">
        <f>IF(H271="smartmeter_1ph",Table4[[#This Row],[total_cost_npr]],Table4[[#This Row],[total_cost_npr]]/Table4[[#This Row],[pv_kWp]])</f>
        <v>98952.8</v>
      </c>
      <c r="N271" s="89">
        <v>123691</v>
      </c>
      <c r="O271" s="90">
        <f>Table4[[#This Row],[total_cost_inr]]/Table4[[#This Row],[pv_kWp]]</f>
        <v>61845.5</v>
      </c>
      <c r="P271" s="90"/>
      <c r="Q271" s="17"/>
      <c r="R271" s="90"/>
      <c r="S271" s="90"/>
      <c r="T271" s="1">
        <f t="shared" si="0"/>
        <v>2</v>
      </c>
      <c r="U271" s="1"/>
      <c r="V271" s="1"/>
      <c r="W271" s="1"/>
      <c r="X271" s="1"/>
      <c r="Y271" s="1"/>
      <c r="Z271" s="1"/>
      <c r="AA271" s="1"/>
      <c r="AB271" s="1"/>
      <c r="AC271" s="1"/>
      <c r="AD271" s="1"/>
      <c r="AE271" s="1"/>
      <c r="AF271" s="1"/>
      <c r="AG271" s="1"/>
      <c r="AH271" s="6"/>
      <c r="AI271" s="1">
        <v>2</v>
      </c>
      <c r="AJ271" s="1"/>
      <c r="AK271" s="1" t="s">
        <v>60</v>
      </c>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row>
    <row r="272" spans="1:63" ht="16" thickBot="1" x14ac:dyDescent="0.25">
      <c r="A272" s="3">
        <v>272</v>
      </c>
      <c r="B272" s="3" t="s">
        <v>59</v>
      </c>
      <c r="C272" s="3" t="s">
        <v>543</v>
      </c>
      <c r="D272" s="1" t="s">
        <v>40</v>
      </c>
      <c r="E272" s="1"/>
      <c r="F272" s="1">
        <v>2021</v>
      </c>
      <c r="G272" s="1" t="s">
        <v>41</v>
      </c>
      <c r="H272" s="1" t="s">
        <v>42</v>
      </c>
      <c r="I272" s="1"/>
      <c r="J272" s="113">
        <f>Table4[[#This Row],[total_cost_npr]]*(1/'Calculations &amp; Assumptions'!$C$6)</f>
        <v>2048.3325635103924</v>
      </c>
      <c r="K272" s="113">
        <f>Table4[[#This Row],[system_cost_npr_per_kwp]]*(1/'Calculations &amp; Assumptions'!$C$6)</f>
        <v>682.77752117013085</v>
      </c>
      <c r="L272" s="23">
        <f>IF(Table4[[#This Row],[total_cost_inr]]&gt;0, Table4[[#This Row],[total_cost_inr]]*'Calculations &amp; Assumptions'!$C$7,IF(Table4[[#This Row],[total_cost_eur]]&gt;0,Table4[[#This Row],[total_cost_eur]]*'Calculations &amp; Assumptions'!$C$5,0))</f>
        <v>266078.40000000002</v>
      </c>
      <c r="M272" s="77">
        <f>IF(H272="smartmeter_1ph",Table4[[#This Row],[total_cost_npr]],Table4[[#This Row],[total_cost_npr]]/Table4[[#This Row],[pv_kWp]])</f>
        <v>88692.800000000003</v>
      </c>
      <c r="N272" s="89">
        <v>166299</v>
      </c>
      <c r="O272" s="90">
        <f>Table4[[#This Row],[total_cost_inr]]/Table4[[#This Row],[pv_kWp]]</f>
        <v>55433</v>
      </c>
      <c r="P272" s="90"/>
      <c r="Q272" s="17"/>
      <c r="R272" s="90"/>
      <c r="S272" s="90"/>
      <c r="T272" s="1">
        <f t="shared" si="0"/>
        <v>3</v>
      </c>
      <c r="U272" s="1"/>
      <c r="V272" s="1"/>
      <c r="W272" s="1"/>
      <c r="X272" s="1"/>
      <c r="Y272" s="1"/>
      <c r="Z272" s="1"/>
      <c r="AA272" s="1"/>
      <c r="AB272" s="1"/>
      <c r="AC272" s="1"/>
      <c r="AD272" s="1"/>
      <c r="AE272" s="1"/>
      <c r="AF272" s="1"/>
      <c r="AG272" s="1"/>
      <c r="AH272" s="6"/>
      <c r="AI272" s="1">
        <v>3</v>
      </c>
      <c r="AJ272" s="1"/>
      <c r="AK272" s="1" t="s">
        <v>60</v>
      </c>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row>
    <row r="273" spans="1:63" ht="16" thickBot="1" x14ac:dyDescent="0.25">
      <c r="A273" s="3">
        <v>273</v>
      </c>
      <c r="B273" s="3" t="s">
        <v>59</v>
      </c>
      <c r="C273" s="3" t="s">
        <v>543</v>
      </c>
      <c r="D273" s="1" t="s">
        <v>40</v>
      </c>
      <c r="E273" s="1"/>
      <c r="F273" s="1">
        <v>2021</v>
      </c>
      <c r="G273" s="1" t="s">
        <v>41</v>
      </c>
      <c r="H273" s="1" t="s">
        <v>42</v>
      </c>
      <c r="I273" s="1"/>
      <c r="J273" s="113">
        <f>Table4[[#This Row],[total_cost_npr]]*(1/'Calculations &amp; Assumptions'!$C$6)</f>
        <v>2457.7675134719011</v>
      </c>
      <c r="K273" s="113">
        <f>Table4[[#This Row],[system_cost_npr_per_kwp]]*(1/'Calculations &amp; Assumptions'!$C$6)</f>
        <v>819.255837823967</v>
      </c>
      <c r="L273" s="23">
        <f>IF(Table4[[#This Row],[total_cost_inr]]&gt;0, Table4[[#This Row],[total_cost_inr]]*'Calculations &amp; Assumptions'!$C$7,IF(Table4[[#This Row],[total_cost_eur]]&gt;0,Table4[[#This Row],[total_cost_eur]]*'Calculations &amp; Assumptions'!$C$5,0))</f>
        <v>319264</v>
      </c>
      <c r="M273" s="77">
        <f>IF(H273="smartmeter_1ph",Table4[[#This Row],[total_cost_npr]],Table4[[#This Row],[total_cost_npr]]/Table4[[#This Row],[pv_kWp]])</f>
        <v>106421.33333333333</v>
      </c>
      <c r="N273" s="89">
        <v>199540</v>
      </c>
      <c r="O273" s="90">
        <f>Table4[[#This Row],[total_cost_inr]]/Table4[[#This Row],[pv_kWp]]</f>
        <v>66513.333333333328</v>
      </c>
      <c r="P273" s="90"/>
      <c r="Q273" s="17"/>
      <c r="R273" s="90"/>
      <c r="S273" s="90"/>
      <c r="T273" s="1">
        <f t="shared" si="0"/>
        <v>3</v>
      </c>
      <c r="U273" s="1"/>
      <c r="V273" s="1"/>
      <c r="W273" s="1"/>
      <c r="X273" s="1"/>
      <c r="Y273" s="1"/>
      <c r="Z273" s="1"/>
      <c r="AA273" s="1"/>
      <c r="AB273" s="1"/>
      <c r="AC273" s="1"/>
      <c r="AD273" s="1"/>
      <c r="AE273" s="1"/>
      <c r="AF273" s="1"/>
      <c r="AG273" s="1"/>
      <c r="AH273" s="6"/>
      <c r="AI273" s="1">
        <v>3</v>
      </c>
      <c r="AJ273" s="1"/>
      <c r="AK273" s="1" t="s">
        <v>61</v>
      </c>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row>
    <row r="274" spans="1:63" ht="16" thickBot="1" x14ac:dyDescent="0.25">
      <c r="A274" s="3">
        <v>274</v>
      </c>
      <c r="B274" s="3" t="s">
        <v>59</v>
      </c>
      <c r="C274" s="3" t="s">
        <v>543</v>
      </c>
      <c r="D274" s="1" t="s">
        <v>40</v>
      </c>
      <c r="E274" s="1"/>
      <c r="F274" s="1">
        <v>2021</v>
      </c>
      <c r="G274" s="1" t="s">
        <v>41</v>
      </c>
      <c r="H274" s="1" t="s">
        <v>42</v>
      </c>
      <c r="I274" s="1"/>
      <c r="J274" s="113">
        <f>Table4[[#This Row],[total_cost_npr]]*(1/'Calculations &amp; Assumptions'!$C$6)</f>
        <v>2889.8290993071596</v>
      </c>
      <c r="K274" s="113">
        <f>Table4[[#This Row],[system_cost_npr_per_kwp]]*(1/'Calculations &amp; Assumptions'!$C$6)</f>
        <v>577.9658198614319</v>
      </c>
      <c r="L274" s="23">
        <f>IF(Table4[[#This Row],[total_cost_inr]]&gt;0, Table4[[#This Row],[total_cost_inr]]*'Calculations &amp; Assumptions'!$C$7,IF(Table4[[#This Row],[total_cost_eur]]&gt;0,Table4[[#This Row],[total_cost_eur]]*'Calculations &amp; Assumptions'!$C$5,0))</f>
        <v>375388.80000000005</v>
      </c>
      <c r="M274" s="77">
        <f>IF(H274="smartmeter_1ph",Table4[[#This Row],[total_cost_npr]],Table4[[#This Row],[total_cost_npr]]/Table4[[#This Row],[pv_kWp]])</f>
        <v>75077.760000000009</v>
      </c>
      <c r="N274" s="89">
        <v>234618</v>
      </c>
      <c r="O274" s="90">
        <f>Table4[[#This Row],[total_cost_inr]]/Table4[[#This Row],[pv_kWp]]</f>
        <v>46923.6</v>
      </c>
      <c r="P274" s="90"/>
      <c r="Q274" s="17"/>
      <c r="R274" s="90"/>
      <c r="S274" s="90"/>
      <c r="T274" s="1">
        <f t="shared" si="0"/>
        <v>5</v>
      </c>
      <c r="U274" s="1"/>
      <c r="V274" s="1"/>
      <c r="W274" s="1"/>
      <c r="X274" s="1"/>
      <c r="Y274" s="1"/>
      <c r="Z274" s="1"/>
      <c r="AA274" s="1"/>
      <c r="AB274" s="1"/>
      <c r="AC274" s="1"/>
      <c r="AD274" s="1"/>
      <c r="AE274" s="1"/>
      <c r="AF274" s="1"/>
      <c r="AG274" s="1"/>
      <c r="AH274" s="6"/>
      <c r="AI274" s="1">
        <v>5</v>
      </c>
      <c r="AJ274" s="1"/>
      <c r="AK274" s="1" t="s">
        <v>60</v>
      </c>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row>
    <row r="275" spans="1:63" ht="16" thickBot="1" x14ac:dyDescent="0.25">
      <c r="A275" s="3">
        <v>275</v>
      </c>
      <c r="B275" s="3" t="s">
        <v>59</v>
      </c>
      <c r="C275" s="3" t="s">
        <v>543</v>
      </c>
      <c r="D275" s="1" t="s">
        <v>40</v>
      </c>
      <c r="E275" s="1"/>
      <c r="F275" s="1">
        <v>2021</v>
      </c>
      <c r="G275" s="1" t="s">
        <v>41</v>
      </c>
      <c r="H275" s="1" t="s">
        <v>42</v>
      </c>
      <c r="I275" s="1"/>
      <c r="J275" s="113">
        <f>Table4[[#This Row],[total_cost_npr]]*(1/'Calculations &amp; Assumptions'!$C$6)</f>
        <v>3467.7998460354115</v>
      </c>
      <c r="K275" s="113">
        <f>Table4[[#This Row],[system_cost_npr_per_kwp]]*(1/'Calculations &amp; Assumptions'!$C$6)</f>
        <v>693.5599692070823</v>
      </c>
      <c r="L275" s="23">
        <f>IF(Table4[[#This Row],[total_cost_inr]]&gt;0, Table4[[#This Row],[total_cost_inr]]*'Calculations &amp; Assumptions'!$C$7,IF(Table4[[#This Row],[total_cost_eur]]&gt;0,Table4[[#This Row],[total_cost_eur]]*'Calculations &amp; Assumptions'!$C$5,0))</f>
        <v>450467.2</v>
      </c>
      <c r="M275" s="77">
        <f>IF(H275="smartmeter_1ph",Table4[[#This Row],[total_cost_npr]],Table4[[#This Row],[total_cost_npr]]/Table4[[#This Row],[pv_kWp]])</f>
        <v>90093.440000000002</v>
      </c>
      <c r="N275" s="89">
        <v>281542</v>
      </c>
      <c r="O275" s="90">
        <f>Table4[[#This Row],[total_cost_inr]]/Table4[[#This Row],[pv_kWp]]</f>
        <v>56308.4</v>
      </c>
      <c r="P275" s="90"/>
      <c r="Q275" s="17"/>
      <c r="R275" s="90"/>
      <c r="S275" s="90"/>
      <c r="T275" s="1">
        <f t="shared" si="0"/>
        <v>5</v>
      </c>
      <c r="U275" s="1"/>
      <c r="V275" s="1"/>
      <c r="W275" s="1"/>
      <c r="X275" s="1"/>
      <c r="Y275" s="1"/>
      <c r="Z275" s="1"/>
      <c r="AA275" s="1"/>
      <c r="AB275" s="1"/>
      <c r="AC275" s="1"/>
      <c r="AD275" s="1"/>
      <c r="AE275" s="1"/>
      <c r="AF275" s="1"/>
      <c r="AG275" s="1"/>
      <c r="AH275" s="6"/>
      <c r="AI275" s="1">
        <v>5</v>
      </c>
      <c r="AJ275" s="1"/>
      <c r="AK275" s="1" t="s">
        <v>61</v>
      </c>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row>
    <row r="276" spans="1:63" ht="16" thickBot="1" x14ac:dyDescent="0.25">
      <c r="A276" s="3">
        <v>276</v>
      </c>
      <c r="B276" s="3" t="s">
        <v>59</v>
      </c>
      <c r="C276" s="3" t="s">
        <v>543</v>
      </c>
      <c r="D276" s="1" t="s">
        <v>40</v>
      </c>
      <c r="E276" s="1"/>
      <c r="F276" s="1">
        <v>2021</v>
      </c>
      <c r="G276" s="1" t="s">
        <v>41</v>
      </c>
      <c r="H276" s="1" t="s">
        <v>42</v>
      </c>
      <c r="I276" s="1"/>
      <c r="J276" s="113">
        <f>Table4[[#This Row],[total_cost_npr]]*(1/'Calculations &amp; Assumptions'!$C$6)</f>
        <v>4016.3695150115473</v>
      </c>
      <c r="K276" s="113">
        <f>Table4[[#This Row],[system_cost_npr_per_kwp]]*(1/'Calculations &amp; Assumptions'!$C$6)</f>
        <v>535.51593533487301</v>
      </c>
      <c r="L276" s="23">
        <f>IF(Table4[[#This Row],[total_cost_inr]]&gt;0, Table4[[#This Row],[total_cost_inr]]*'Calculations &amp; Assumptions'!$C$7,IF(Table4[[#This Row],[total_cost_eur]]&gt;0,Table4[[#This Row],[total_cost_eur]]*'Calculations &amp; Assumptions'!$C$5,0))</f>
        <v>521726.4</v>
      </c>
      <c r="M276" s="77">
        <f>IF(H276="smartmeter_1ph",Table4[[#This Row],[total_cost_npr]],Table4[[#This Row],[total_cost_npr]]/Table4[[#This Row],[pv_kWp]])</f>
        <v>69563.520000000004</v>
      </c>
      <c r="N276" s="89">
        <v>326079</v>
      </c>
      <c r="O276" s="90">
        <f>Table4[[#This Row],[total_cost_inr]]/Table4[[#This Row],[pv_kWp]]</f>
        <v>43477.2</v>
      </c>
      <c r="P276" s="90"/>
      <c r="Q276" s="17"/>
      <c r="R276" s="90"/>
      <c r="S276" s="90"/>
      <c r="T276" s="1">
        <f t="shared" si="0"/>
        <v>7.5</v>
      </c>
      <c r="U276" s="1"/>
      <c r="V276" s="1"/>
      <c r="W276" s="1"/>
      <c r="X276" s="1"/>
      <c r="Y276" s="1"/>
      <c r="Z276" s="1"/>
      <c r="AA276" s="1"/>
      <c r="AB276" s="1"/>
      <c r="AC276" s="1"/>
      <c r="AD276" s="1"/>
      <c r="AE276" s="1"/>
      <c r="AF276" s="1"/>
      <c r="AG276" s="1"/>
      <c r="AH276" s="6"/>
      <c r="AI276" s="1">
        <v>7.5</v>
      </c>
      <c r="AJ276" s="1"/>
      <c r="AK276" s="1" t="s">
        <v>60</v>
      </c>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row>
    <row r="277" spans="1:63" ht="16" thickBot="1" x14ac:dyDescent="0.25">
      <c r="A277" s="3">
        <v>277</v>
      </c>
      <c r="B277" s="3" t="s">
        <v>59</v>
      </c>
      <c r="C277" s="3" t="s">
        <v>543</v>
      </c>
      <c r="D277" s="1" t="s">
        <v>40</v>
      </c>
      <c r="E277" s="1"/>
      <c r="F277" s="1">
        <v>2021</v>
      </c>
      <c r="G277" s="1" t="s">
        <v>41</v>
      </c>
      <c r="H277" s="1" t="s">
        <v>42</v>
      </c>
      <c r="I277" s="1"/>
      <c r="J277" s="113">
        <f>Table4[[#This Row],[total_cost_npr]]*(1/'Calculations &amp; Assumptions'!$C$6)</f>
        <v>4618.087759815242</v>
      </c>
      <c r="K277" s="113">
        <f>Table4[[#This Row],[system_cost_npr_per_kwp]]*(1/'Calculations &amp; Assumptions'!$C$6)</f>
        <v>615.74503464203224</v>
      </c>
      <c r="L277" s="23">
        <f>IF(Table4[[#This Row],[total_cost_inr]]&gt;0, Table4[[#This Row],[total_cost_inr]]*'Calculations &amp; Assumptions'!$C$7,IF(Table4[[#This Row],[total_cost_eur]]&gt;0,Table4[[#This Row],[total_cost_eur]]*'Calculations &amp; Assumptions'!$C$5,0))</f>
        <v>599889.6</v>
      </c>
      <c r="M277" s="77">
        <f>IF(H277="smartmeter_1ph",Table4[[#This Row],[total_cost_npr]],Table4[[#This Row],[total_cost_npr]]/Table4[[#This Row],[pv_kWp]])</f>
        <v>79985.279999999999</v>
      </c>
      <c r="N277" s="89">
        <v>374931</v>
      </c>
      <c r="O277" s="90">
        <f>Table4[[#This Row],[total_cost_inr]]/Table4[[#This Row],[pv_kWp]]</f>
        <v>49990.8</v>
      </c>
      <c r="P277" s="90"/>
      <c r="Q277" s="17"/>
      <c r="R277" s="90"/>
      <c r="S277" s="90"/>
      <c r="T277" s="1">
        <f t="shared" si="0"/>
        <v>7.5</v>
      </c>
      <c r="U277" s="1"/>
      <c r="V277" s="1"/>
      <c r="W277" s="1"/>
      <c r="X277" s="1"/>
      <c r="Y277" s="1"/>
      <c r="Z277" s="1"/>
      <c r="AA277" s="1"/>
      <c r="AB277" s="1"/>
      <c r="AC277" s="1"/>
      <c r="AD277" s="1"/>
      <c r="AE277" s="1"/>
      <c r="AF277" s="1"/>
      <c r="AG277" s="1"/>
      <c r="AH277" s="6"/>
      <c r="AI277" s="1">
        <v>7.5</v>
      </c>
      <c r="AJ277" s="1"/>
      <c r="AK277" s="1" t="s">
        <v>61</v>
      </c>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row>
    <row r="278" spans="1:63" ht="16" thickBot="1" x14ac:dyDescent="0.25">
      <c r="A278" s="3">
        <v>278</v>
      </c>
      <c r="B278" s="3" t="s">
        <v>59</v>
      </c>
      <c r="C278" s="3" t="s">
        <v>543</v>
      </c>
      <c r="D278" s="1" t="s">
        <v>40</v>
      </c>
      <c r="E278" s="1"/>
      <c r="F278" s="1">
        <v>2021</v>
      </c>
      <c r="G278" s="1" t="s">
        <v>41</v>
      </c>
      <c r="H278" s="1" t="s">
        <v>42</v>
      </c>
      <c r="I278" s="1"/>
      <c r="J278" s="113">
        <f>Table4[[#This Row],[total_cost_npr]]*(1/'Calculations &amp; Assumptions'!$C$6)</f>
        <v>5024.1354888375672</v>
      </c>
      <c r="K278" s="113">
        <f>Table4[[#This Row],[system_cost_npr_per_kwp]]*(1/'Calculations &amp; Assumptions'!$C$6)</f>
        <v>502.41354888375673</v>
      </c>
      <c r="L278" s="23">
        <f>IF(Table4[[#This Row],[total_cost_inr]]&gt;0, Table4[[#This Row],[total_cost_inr]]*'Calculations &amp; Assumptions'!$C$7,IF(Table4[[#This Row],[total_cost_eur]]&gt;0,Table4[[#This Row],[total_cost_eur]]*'Calculations &amp; Assumptions'!$C$5,0))</f>
        <v>652635.20000000007</v>
      </c>
      <c r="M278" s="77">
        <f>IF(H278="smartmeter_1ph",Table4[[#This Row],[total_cost_npr]],Table4[[#This Row],[total_cost_npr]]/Table4[[#This Row],[pv_kWp]])</f>
        <v>65263.520000000004</v>
      </c>
      <c r="N278" s="89">
        <v>407897</v>
      </c>
      <c r="O278" s="90">
        <f>Table4[[#This Row],[total_cost_inr]]/Table4[[#This Row],[pv_kWp]]</f>
        <v>40789.699999999997</v>
      </c>
      <c r="P278" s="90"/>
      <c r="Q278" s="17"/>
      <c r="R278" s="90"/>
      <c r="S278" s="90"/>
      <c r="T278" s="1">
        <f t="shared" si="0"/>
        <v>10</v>
      </c>
      <c r="U278" s="1"/>
      <c r="V278" s="1"/>
      <c r="W278" s="1"/>
      <c r="X278" s="1"/>
      <c r="Y278" s="1"/>
      <c r="Z278" s="1"/>
      <c r="AA278" s="1"/>
      <c r="AB278" s="1"/>
      <c r="AC278" s="1"/>
      <c r="AD278" s="1"/>
      <c r="AE278" s="1"/>
      <c r="AF278" s="1"/>
      <c r="AG278" s="1"/>
      <c r="AH278" s="6"/>
      <c r="AI278" s="1">
        <v>10</v>
      </c>
      <c r="AJ278" s="1"/>
      <c r="AK278" s="1" t="s">
        <v>60</v>
      </c>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row>
    <row r="279" spans="1:63" ht="16" thickBot="1" x14ac:dyDescent="0.25">
      <c r="A279" s="3">
        <v>279</v>
      </c>
      <c r="B279" s="3" t="s">
        <v>59</v>
      </c>
      <c r="C279" s="3" t="s">
        <v>543</v>
      </c>
      <c r="D279" s="1" t="s">
        <v>40</v>
      </c>
      <c r="E279" s="1"/>
      <c r="F279" s="1">
        <v>2021</v>
      </c>
      <c r="G279" s="1" t="s">
        <v>41</v>
      </c>
      <c r="H279" s="1" t="s">
        <v>42</v>
      </c>
      <c r="I279" s="1"/>
      <c r="J279" s="113">
        <f>Table4[[#This Row],[total_cost_npr]]*(1/'Calculations &amp; Assumptions'!$C$6)</f>
        <v>5777.4164742109315</v>
      </c>
      <c r="K279" s="113">
        <f>Table4[[#This Row],[system_cost_npr_per_kwp]]*(1/'Calculations &amp; Assumptions'!$C$6)</f>
        <v>577.74164742109303</v>
      </c>
      <c r="L279" s="23">
        <f>IF(Table4[[#This Row],[total_cost_inr]]&gt;0, Table4[[#This Row],[total_cost_inr]]*'Calculations &amp; Assumptions'!$C$7,IF(Table4[[#This Row],[total_cost_eur]]&gt;0,Table4[[#This Row],[total_cost_eur]]*'Calculations &amp; Assumptions'!$C$5,0))</f>
        <v>750486.4</v>
      </c>
      <c r="M279" s="77">
        <f>IF(H279="smartmeter_1ph",Table4[[#This Row],[total_cost_npr]],Table4[[#This Row],[total_cost_npr]]/Table4[[#This Row],[pv_kWp]])</f>
        <v>75048.639999999999</v>
      </c>
      <c r="N279" s="89">
        <v>469054</v>
      </c>
      <c r="O279" s="90">
        <f>Table4[[#This Row],[total_cost_inr]]/Table4[[#This Row],[pv_kWp]]</f>
        <v>46905.4</v>
      </c>
      <c r="P279" s="90"/>
      <c r="Q279" s="17"/>
      <c r="R279" s="90"/>
      <c r="S279" s="90"/>
      <c r="T279" s="1">
        <f t="shared" si="0"/>
        <v>10</v>
      </c>
      <c r="U279" s="1"/>
      <c r="V279" s="1"/>
      <c r="W279" s="1"/>
      <c r="X279" s="1"/>
      <c r="Y279" s="1"/>
      <c r="Z279" s="1"/>
      <c r="AA279" s="1"/>
      <c r="AB279" s="1"/>
      <c r="AC279" s="1"/>
      <c r="AD279" s="1"/>
      <c r="AE279" s="1"/>
      <c r="AF279" s="1"/>
      <c r="AG279" s="1"/>
      <c r="AH279" s="6"/>
      <c r="AI279" s="1">
        <v>10</v>
      </c>
      <c r="AJ279" s="1"/>
      <c r="AK279" s="1" t="s">
        <v>61</v>
      </c>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row>
    <row r="280" spans="1:63" ht="16" thickBot="1" x14ac:dyDescent="0.25">
      <c r="A280" s="3">
        <v>280</v>
      </c>
      <c r="B280" s="3" t="s">
        <v>62</v>
      </c>
      <c r="C280" s="3" t="s">
        <v>543</v>
      </c>
      <c r="D280" s="1" t="s">
        <v>40</v>
      </c>
      <c r="E280" s="1"/>
      <c r="F280" s="1">
        <v>2022</v>
      </c>
      <c r="G280" s="1" t="s">
        <v>41</v>
      </c>
      <c r="H280" s="1" t="s">
        <v>42</v>
      </c>
      <c r="I280" s="1"/>
      <c r="J280" s="113">
        <f>Table4[[#This Row],[total_cost_npr]]*(1/'Calculations &amp; Assumptions'!$C$6)</f>
        <v>1083.910700538876</v>
      </c>
      <c r="K280" s="113">
        <f>Table4[[#This Row],[system_cost_npr_per_kwp]]*(1/'Calculations &amp; Assumptions'!$C$6)</f>
        <v>539.25905499446571</v>
      </c>
      <c r="L280" s="23">
        <f>IF(Table4[[#This Row],[total_cost_inr]]&gt;0, Table4[[#This Row],[total_cost_inr]]*'Calculations &amp; Assumptions'!$C$7,IF(Table4[[#This Row],[total_cost_eur]]&gt;0,Table4[[#This Row],[total_cost_eur]]*'Calculations &amp; Assumptions'!$C$5,0))</f>
        <v>140800</v>
      </c>
      <c r="M280" s="77">
        <f>IF(H280="smartmeter_1ph",Table4[[#This Row],[total_cost_npr]],Table4[[#This Row],[total_cost_npr]]/Table4[[#This Row],[pv_kWp]])</f>
        <v>70049.751243781109</v>
      </c>
      <c r="N280" s="89">
        <v>88000</v>
      </c>
      <c r="O280" s="90">
        <f>Table4[[#This Row],[total_cost_inr]]/Table4[[#This Row],[pv_kWp]]</f>
        <v>43781.094527363188</v>
      </c>
      <c r="P280" s="90"/>
      <c r="Q280" s="17"/>
      <c r="R280" s="90"/>
      <c r="S280" s="90"/>
      <c r="T280" s="1">
        <v>2.0099999999999998</v>
      </c>
      <c r="U280" s="1"/>
      <c r="V280" s="1"/>
      <c r="W280" s="1"/>
      <c r="X280" s="1"/>
      <c r="Y280" s="1"/>
      <c r="Z280" s="1"/>
      <c r="AA280" s="1"/>
      <c r="AB280" s="1"/>
      <c r="AC280" s="1"/>
      <c r="AD280" s="1"/>
      <c r="AE280" s="1"/>
      <c r="AF280" s="1"/>
      <c r="AG280" s="1"/>
      <c r="AH280" s="6"/>
      <c r="AI280" s="1">
        <v>2</v>
      </c>
      <c r="AJ280" s="1" t="s">
        <v>44</v>
      </c>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row>
    <row r="281" spans="1:63" ht="16" thickBot="1" x14ac:dyDescent="0.25">
      <c r="A281" s="3">
        <v>281</v>
      </c>
      <c r="B281" s="3" t="s">
        <v>62</v>
      </c>
      <c r="C281" s="3" t="s">
        <v>543</v>
      </c>
      <c r="D281" s="1" t="s">
        <v>40</v>
      </c>
      <c r="E281" s="1"/>
      <c r="F281" s="1">
        <v>2022</v>
      </c>
      <c r="G281" s="1" t="s">
        <v>41</v>
      </c>
      <c r="H281" s="1" t="s">
        <v>42</v>
      </c>
      <c r="I281" s="1"/>
      <c r="J281" s="113">
        <f>Table4[[#This Row],[total_cost_npr]]*(1/'Calculations &amp; Assumptions'!$C$6)</f>
        <v>1731.7936874518859</v>
      </c>
      <c r="K281" s="113">
        <f>Table4[[#This Row],[system_cost_npr_per_kwp]]*(1/'Calculations &amp; Assumptions'!$C$6)</f>
        <v>574.39259948652932</v>
      </c>
      <c r="L281" s="23">
        <f>IF(Table4[[#This Row],[total_cost_inr]]&gt;0, Table4[[#This Row],[total_cost_inr]]*'Calculations &amp; Assumptions'!$C$7,IF(Table4[[#This Row],[total_cost_eur]]&gt;0,Table4[[#This Row],[total_cost_eur]]*'Calculations &amp; Assumptions'!$C$5,0))</f>
        <v>224960</v>
      </c>
      <c r="M281" s="77">
        <f>IF(H281="smartmeter_1ph",Table4[[#This Row],[total_cost_npr]],Table4[[#This Row],[total_cost_npr]]/Table4[[#This Row],[pv_kWp]])</f>
        <v>74613.598673300163</v>
      </c>
      <c r="N281" s="89">
        <v>140600</v>
      </c>
      <c r="O281" s="90">
        <f>Table4[[#This Row],[total_cost_inr]]/Table4[[#This Row],[pv_kWp]]</f>
        <v>46633.499170812604</v>
      </c>
      <c r="P281" s="90"/>
      <c r="Q281" s="17"/>
      <c r="R281" s="90"/>
      <c r="S281" s="90"/>
      <c r="T281" s="1">
        <v>3.0150000000000001</v>
      </c>
      <c r="U281" s="1"/>
      <c r="V281" s="1"/>
      <c r="W281" s="1"/>
      <c r="X281" s="1"/>
      <c r="Y281" s="1"/>
      <c r="Z281" s="1"/>
      <c r="AA281" s="1"/>
      <c r="AB281" s="1"/>
      <c r="AC281" s="1"/>
      <c r="AD281" s="1"/>
      <c r="AE281" s="1"/>
      <c r="AF281" s="1"/>
      <c r="AG281" s="1"/>
      <c r="AH281" s="6"/>
      <c r="AI281" s="1">
        <v>3</v>
      </c>
      <c r="AJ281" s="1" t="s">
        <v>44</v>
      </c>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row>
    <row r="282" spans="1:63" ht="16" thickBot="1" x14ac:dyDescent="0.25">
      <c r="A282" s="3">
        <v>282</v>
      </c>
      <c r="B282" s="3" t="s">
        <v>62</v>
      </c>
      <c r="C282" s="3" t="s">
        <v>543</v>
      </c>
      <c r="D282" s="1" t="s">
        <v>40</v>
      </c>
      <c r="E282" s="1"/>
      <c r="F282" s="1">
        <v>2022</v>
      </c>
      <c r="G282" s="1" t="s">
        <v>41</v>
      </c>
      <c r="H282" s="1" t="s">
        <v>42</v>
      </c>
      <c r="I282" s="1"/>
      <c r="J282" s="113">
        <f>Table4[[#This Row],[total_cost_npr]]*(1/'Calculations &amp; Assumptions'!$C$6)</f>
        <v>2327.9445727482675</v>
      </c>
      <c r="K282" s="113">
        <f>Table4[[#This Row],[system_cost_npr_per_kwp]]*(1/'Calculations &amp; Assumptions'!$C$6)</f>
        <v>434.31801730378123</v>
      </c>
      <c r="L282" s="23">
        <f>IF(Table4[[#This Row],[total_cost_inr]]&gt;0, Table4[[#This Row],[total_cost_inr]]*'Calculations &amp; Assumptions'!$C$7,IF(Table4[[#This Row],[total_cost_eur]]&gt;0,Table4[[#This Row],[total_cost_eur]]*'Calculations &amp; Assumptions'!$C$5,0))</f>
        <v>302400</v>
      </c>
      <c r="M282" s="77">
        <f>IF(H282="smartmeter_1ph",Table4[[#This Row],[total_cost_npr]],Table4[[#This Row],[total_cost_npr]]/Table4[[#This Row],[pv_kWp]])</f>
        <v>56417.910447761191</v>
      </c>
      <c r="N282" s="89">
        <v>189000</v>
      </c>
      <c r="O282" s="90">
        <f>Table4[[#This Row],[total_cost_inr]]/Table4[[#This Row],[pv_kWp]]</f>
        <v>35261.194029850747</v>
      </c>
      <c r="P282" s="90"/>
      <c r="Q282" s="17"/>
      <c r="R282" s="90"/>
      <c r="S282" s="90"/>
      <c r="T282" s="1">
        <v>5.36</v>
      </c>
      <c r="U282" s="1"/>
      <c r="V282" s="1"/>
      <c r="W282" s="1"/>
      <c r="X282" s="1"/>
      <c r="Y282" s="1"/>
      <c r="Z282" s="1"/>
      <c r="AA282" s="1"/>
      <c r="AB282" s="1"/>
      <c r="AC282" s="1"/>
      <c r="AD282" s="1"/>
      <c r="AE282" s="1"/>
      <c r="AF282" s="1"/>
      <c r="AG282" s="1"/>
      <c r="AH282" s="6"/>
      <c r="AI282" s="1">
        <v>5</v>
      </c>
      <c r="AJ282" s="1" t="s">
        <v>44</v>
      </c>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row>
    <row r="283" spans="1:63" ht="16" thickBot="1" x14ac:dyDescent="0.25">
      <c r="A283" s="3">
        <v>283</v>
      </c>
      <c r="B283" s="3" t="s">
        <v>62</v>
      </c>
      <c r="C283" s="3" t="s">
        <v>543</v>
      </c>
      <c r="D283" s="1" t="s">
        <v>40</v>
      </c>
      <c r="E283" s="1"/>
      <c r="F283" s="1">
        <v>2022</v>
      </c>
      <c r="G283" s="1" t="s">
        <v>41</v>
      </c>
      <c r="H283" s="1" t="s">
        <v>42</v>
      </c>
      <c r="I283" s="1"/>
      <c r="J283" s="113">
        <f>Table4[[#This Row],[total_cost_npr]]*(1/'Calculations &amp; Assumptions'!$C$6)</f>
        <v>3818.321785989222</v>
      </c>
      <c r="K283" s="113">
        <f>Table4[[#This Row],[system_cost_npr_per_kwp]]*(1/'Calculations &amp; Assumptions'!$C$6)</f>
        <v>474.91564502353515</v>
      </c>
      <c r="L283" s="23">
        <f>IF(Table4[[#This Row],[total_cost_inr]]&gt;0, Table4[[#This Row],[total_cost_inr]]*'Calculations &amp; Assumptions'!$C$7,IF(Table4[[#This Row],[total_cost_eur]]&gt;0,Table4[[#This Row],[total_cost_eur]]*'Calculations &amp; Assumptions'!$C$5,0))</f>
        <v>496000</v>
      </c>
      <c r="M283" s="77">
        <f>IF(H283="smartmeter_1ph",Table4[[#This Row],[total_cost_npr]],Table4[[#This Row],[total_cost_npr]]/Table4[[#This Row],[pv_kWp]])</f>
        <v>61691.542288557219</v>
      </c>
      <c r="N283" s="89">
        <v>310000</v>
      </c>
      <c r="O283" s="90">
        <f>Table4[[#This Row],[total_cost_inr]]/Table4[[#This Row],[pv_kWp]]</f>
        <v>38557.213930348262</v>
      </c>
      <c r="P283" s="90"/>
      <c r="Q283" s="17"/>
      <c r="R283" s="90"/>
      <c r="S283" s="90"/>
      <c r="T283" s="1">
        <v>8.0399999999999991</v>
      </c>
      <c r="U283" s="1"/>
      <c r="V283" s="1"/>
      <c r="W283" s="1"/>
      <c r="X283" s="1"/>
      <c r="Y283" s="1"/>
      <c r="Z283" s="1"/>
      <c r="AA283" s="1"/>
      <c r="AB283" s="1"/>
      <c r="AC283" s="1"/>
      <c r="AD283" s="1"/>
      <c r="AE283" s="1"/>
      <c r="AF283" s="1"/>
      <c r="AG283" s="1"/>
      <c r="AH283" s="6"/>
      <c r="AI283" s="1">
        <v>7.5</v>
      </c>
      <c r="AJ283" s="1" t="s">
        <v>44</v>
      </c>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row>
    <row r="284" spans="1:63" ht="16" thickBot="1" x14ac:dyDescent="0.25">
      <c r="A284" s="3">
        <v>284</v>
      </c>
      <c r="B284" s="3" t="s">
        <v>62</v>
      </c>
      <c r="C284" s="3" t="s">
        <v>543</v>
      </c>
      <c r="D284" s="1" t="s">
        <v>40</v>
      </c>
      <c r="E284" s="1"/>
      <c r="F284" s="1">
        <v>2022</v>
      </c>
      <c r="G284" s="1" t="s">
        <v>41</v>
      </c>
      <c r="H284" s="1" t="s">
        <v>42</v>
      </c>
      <c r="I284" s="1"/>
      <c r="J284" s="113">
        <f>Table4[[#This Row],[total_cost_npr]]*(1/'Calculations &amp; Assumptions'!$C$6)</f>
        <v>5604.311008468052</v>
      </c>
      <c r="K284" s="113">
        <f>Table4[[#This Row],[system_cost_npr_per_kwp]]*(1/'Calculations &amp; Assumptions'!$C$6)</f>
        <v>522.7902060138108</v>
      </c>
      <c r="L284" s="23">
        <f>IF(Table4[[#This Row],[total_cost_inr]]&gt;0, Table4[[#This Row],[total_cost_inr]]*'Calculations &amp; Assumptions'!$C$7,IF(Table4[[#This Row],[total_cost_eur]]&gt;0,Table4[[#This Row],[total_cost_eur]]*'Calculations &amp; Assumptions'!$C$5,0))</f>
        <v>728000</v>
      </c>
      <c r="M284" s="77">
        <f>IF(H284="smartmeter_1ph",Table4[[#This Row],[total_cost_npr]],Table4[[#This Row],[total_cost_npr]]/Table4[[#This Row],[pv_kWp]])</f>
        <v>67910.447761194024</v>
      </c>
      <c r="N284" s="89">
        <v>455000</v>
      </c>
      <c r="O284" s="90">
        <f>Table4[[#This Row],[total_cost_inr]]/Table4[[#This Row],[pv_kWp]]</f>
        <v>42444.029850746265</v>
      </c>
      <c r="P284" s="90"/>
      <c r="Q284" s="17"/>
      <c r="R284" s="90"/>
      <c r="S284" s="90"/>
      <c r="T284" s="1">
        <v>10.72</v>
      </c>
      <c r="U284" s="1"/>
      <c r="V284" s="1"/>
      <c r="W284" s="1"/>
      <c r="X284" s="1"/>
      <c r="Y284" s="1"/>
      <c r="Z284" s="1"/>
      <c r="AA284" s="1"/>
      <c r="AB284" s="1"/>
      <c r="AC284" s="1"/>
      <c r="AD284" s="1"/>
      <c r="AE284" s="1"/>
      <c r="AF284" s="1"/>
      <c r="AG284" s="1"/>
      <c r="AH284" s="6"/>
      <c r="AI284" s="1">
        <v>10</v>
      </c>
      <c r="AJ284" s="1" t="s">
        <v>44</v>
      </c>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row>
    <row r="285" spans="1:63" ht="16" thickBot="1" x14ac:dyDescent="0.25">
      <c r="A285" s="3">
        <v>285</v>
      </c>
      <c r="B285" s="3" t="s">
        <v>271</v>
      </c>
      <c r="C285" s="3" t="s">
        <v>543</v>
      </c>
      <c r="D285" s="32" t="s">
        <v>40</v>
      </c>
      <c r="E285" s="32"/>
      <c r="F285" s="1">
        <v>2022</v>
      </c>
      <c r="G285" s="1" t="s">
        <v>102</v>
      </c>
      <c r="H285" s="1" t="s">
        <v>272</v>
      </c>
      <c r="I285" s="32"/>
      <c r="J285" s="113">
        <f>Table4[[#This Row],[total_cost_npr]]*(1/'Calculations &amp; Assumptions'!$C$6)</f>
        <v>24074.974595842956</v>
      </c>
      <c r="K285" s="113">
        <f>Table4[[#This Row],[system_cost_npr_per_kwp]]*(1/'Calculations &amp; Assumptions'!$C$6)</f>
        <v>802.49915319476509</v>
      </c>
      <c r="L285" s="23">
        <f>IF(Table4[[#This Row],[total_cost_inr]]&gt;0, Table4[[#This Row],[total_cost_inr]]*'Calculations &amp; Assumptions'!$C$7,IF(Table4[[#This Row],[total_cost_eur]]&gt;0,Table4[[#This Row],[total_cost_eur]]*'Calculations &amp; Assumptions'!$C$5,0))</f>
        <v>3127339.2</v>
      </c>
      <c r="M285" s="77">
        <f>IF(H285="smartmeter_1ph",Table4[[#This Row],[total_cost_npr]],Table4[[#This Row],[total_cost_npr]]/Table4[[#This Row],[pv_kWp]])</f>
        <v>104244.64</v>
      </c>
      <c r="N285" s="89">
        <v>1954587</v>
      </c>
      <c r="O285" s="1">
        <f>Table4[[#This Row],[total_cost_inr]]/Table4[[#This Row],[pv_kWp]]</f>
        <v>65152.9</v>
      </c>
      <c r="P285" s="1"/>
      <c r="Q285" s="3">
        <f>Table4[[#This Row],[total_cost_eur]]/Table4[[#This Row],[pv_kWp]]</f>
        <v>0</v>
      </c>
      <c r="R285" s="1"/>
      <c r="S285" s="1"/>
      <c r="T285" s="1">
        <v>30</v>
      </c>
      <c r="U285" s="1"/>
      <c r="V285" s="1"/>
      <c r="W285" s="1"/>
      <c r="X285" s="1"/>
      <c r="Y285" s="1"/>
      <c r="Z285" s="1"/>
      <c r="AA285" s="1"/>
      <c r="AB285" s="1"/>
      <c r="AC285" s="1"/>
      <c r="AD285" s="1"/>
      <c r="AE285" s="1"/>
      <c r="AF285" s="1"/>
      <c r="AG285" s="1"/>
      <c r="AH285" s="6"/>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row>
    <row r="286" spans="1:63" ht="16" thickBot="1" x14ac:dyDescent="0.25">
      <c r="A286" s="3">
        <v>286</v>
      </c>
      <c r="B286" s="88"/>
      <c r="C286" s="3" t="s">
        <v>543</v>
      </c>
      <c r="D286" s="32" t="s">
        <v>40</v>
      </c>
      <c r="E286" s="32"/>
      <c r="F286" s="1">
        <v>2022</v>
      </c>
      <c r="G286" s="1" t="s">
        <v>102</v>
      </c>
      <c r="H286" s="1" t="s">
        <v>272</v>
      </c>
      <c r="I286" s="32"/>
      <c r="J286" s="113">
        <f>Table4[[#This Row],[total_cost_npr]]*(1/'Calculations &amp; Assumptions'!$C$6)</f>
        <v>189876.02771362584</v>
      </c>
      <c r="K286" s="113">
        <f>Table4[[#This Row],[system_cost_npr_per_kwp]]*(1/'Calculations &amp; Assumptions'!$C$6)</f>
        <v>632.92009237875288</v>
      </c>
      <c r="L286" s="23">
        <f>IF(Table4[[#This Row],[total_cost_inr]]&gt;0, Table4[[#This Row],[total_cost_inr]]*'Calculations &amp; Assumptions'!$C$7,IF(Table4[[#This Row],[total_cost_eur]]&gt;0,Table4[[#This Row],[total_cost_eur]]*'Calculations &amp; Assumptions'!$C$5,0))</f>
        <v>24664896</v>
      </c>
      <c r="M286" s="77">
        <f>IF(H286="smartmeter_1ph",Table4[[#This Row],[total_cost_npr]],Table4[[#This Row],[total_cost_npr]]/Table4[[#This Row],[pv_kWp]])</f>
        <v>82216.320000000007</v>
      </c>
      <c r="N286" s="89">
        <v>15415560</v>
      </c>
      <c r="O286" s="1">
        <f>Table4[[#This Row],[total_cost_inr]]/Table4[[#This Row],[pv_kWp]]</f>
        <v>51385.2</v>
      </c>
      <c r="P286" s="1"/>
      <c r="Q286" s="3">
        <f>Table4[[#This Row],[total_cost_eur]]/Table4[[#This Row],[pv_kWp]]</f>
        <v>0</v>
      </c>
      <c r="R286" s="1"/>
      <c r="S286" s="1"/>
      <c r="T286" s="1">
        <v>300</v>
      </c>
      <c r="U286" s="1"/>
      <c r="V286" s="1"/>
      <c r="W286" s="1"/>
      <c r="X286" s="1"/>
      <c r="Y286" s="1"/>
      <c r="Z286" s="1"/>
      <c r="AA286" s="1"/>
      <c r="AB286" s="1"/>
      <c r="AC286" s="1"/>
      <c r="AD286" s="1"/>
      <c r="AE286" s="1"/>
      <c r="AF286" s="1"/>
      <c r="AG286" s="1"/>
      <c r="AH286" s="6"/>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row>
    <row r="287" spans="1:63" ht="16" thickBot="1" x14ac:dyDescent="0.25">
      <c r="A287" s="3">
        <v>287</v>
      </c>
      <c r="B287" s="3" t="s">
        <v>449</v>
      </c>
      <c r="C287" s="3" t="s">
        <v>543</v>
      </c>
      <c r="D287" s="1" t="s">
        <v>450</v>
      </c>
      <c r="E287" s="1"/>
      <c r="F287" s="1">
        <v>2022</v>
      </c>
      <c r="G287" s="1" t="s">
        <v>102</v>
      </c>
      <c r="H287" s="1" t="s">
        <v>110</v>
      </c>
      <c r="I287" s="1"/>
      <c r="J287" s="113">
        <f>Table4[[#This Row],[total_cost_npr]]*(1/'Calculations &amp; Assumptions'!$C$6)</f>
        <v>847652.04003079282</v>
      </c>
      <c r="K287" s="113">
        <f>Table4[[#This Row],[system_cost_npr_per_kwp]]*(1/'Calculations &amp; Assumptions'!$C$6)</f>
        <v>2963.8183217859892</v>
      </c>
      <c r="L287" s="23">
        <f>IF(Table4[[#This Row],[total_cost_inr]]&gt;0, Table4[[#This Row],[total_cost_inr]]*'Calculations &amp; Assumptions'!$C$7,IF(Table4[[#This Row],[total_cost_eur]]&gt;0,Table4[[#This Row],[total_cost_eur]]*'Calculations &amp; Assumptions'!$C$5,0))</f>
        <v>110110000</v>
      </c>
      <c r="M287" s="77">
        <f>IF(H287="smartmeter_1ph",Table4[[#This Row],[total_cost_npr]],Table4[[#This Row],[total_cost_npr]]/Table4[[#This Row],[pv_kWp]])</f>
        <v>385000</v>
      </c>
      <c r="N287" s="1"/>
      <c r="O287" s="1"/>
      <c r="P287" s="1">
        <v>847000</v>
      </c>
      <c r="Q287" s="3">
        <f>Table4[[#This Row],[total_cost_eur]]/Table4[[#This Row],[pv_kWp]]</f>
        <v>2961.5384615384614</v>
      </c>
      <c r="R287" s="1"/>
      <c r="S287" s="1"/>
      <c r="T287" s="1">
        <v>286</v>
      </c>
      <c r="U287" s="1"/>
      <c r="V287" s="1"/>
      <c r="W287" s="1"/>
      <c r="X287" s="1"/>
      <c r="Y287" s="1"/>
      <c r="Z287" s="1"/>
      <c r="AA287" s="1"/>
      <c r="AB287" s="1"/>
      <c r="AC287" s="1"/>
      <c r="AD287" s="1">
        <v>690</v>
      </c>
      <c r="AE287" s="1"/>
      <c r="AF287" s="1"/>
      <c r="AG287" s="1"/>
      <c r="AH287" s="6"/>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row>
    <row r="288" spans="1:63" ht="16" thickBot="1" x14ac:dyDescent="0.25">
      <c r="A288" s="3">
        <v>288</v>
      </c>
      <c r="B288" s="3" t="s">
        <v>273</v>
      </c>
      <c r="C288" s="3" t="s">
        <v>543</v>
      </c>
      <c r="D288" s="32" t="s">
        <v>40</v>
      </c>
      <c r="E288" s="32"/>
      <c r="F288" s="1">
        <v>2022</v>
      </c>
      <c r="G288" s="1" t="s">
        <v>48</v>
      </c>
      <c r="H288" s="1" t="s">
        <v>50</v>
      </c>
      <c r="I288" s="1" t="s">
        <v>273</v>
      </c>
      <c r="J288" s="113">
        <f>Table4[[#This Row],[total_cost_npr]]*(1/'Calculations &amp; Assumptions'!$C$6)</f>
        <v>17773.672055427251</v>
      </c>
      <c r="K288" s="113">
        <f>Table4[[#This Row],[system_cost_npr_per_kwp]]*(1/'Calculations &amp; Assumptions'!$C$6)</f>
        <v>1184.9114703618168</v>
      </c>
      <c r="L288" s="23">
        <f>IF(Table4[[#This Row],[total_cost_inr]]&gt;0, Table4[[#This Row],[total_cost_inr]]*'Calculations &amp; Assumptions'!$C$7,IF(Table4[[#This Row],[total_cost_eur]]&gt;0,Table4[[#This Row],[total_cost_eur]]*'Calculations &amp; Assumptions'!$C$5,0))</f>
        <v>2308800</v>
      </c>
      <c r="M288" s="77">
        <f>IF(H288="smartmeter_1ph",Table4[[#This Row],[total_cost_npr]],Table4[[#This Row],[total_cost_npr]]/Table4[[#This Row],[pv_kWp]])</f>
        <v>153920</v>
      </c>
      <c r="N288" s="89">
        <v>1443000</v>
      </c>
      <c r="O288" s="1">
        <f>Table4[[#This Row],[total_cost_inr]]/Table4[[#This Row],[pv_kWp]]</f>
        <v>96200</v>
      </c>
      <c r="P288" s="1"/>
      <c r="Q288" s="3">
        <f>Table4[[#This Row],[total_cost_eur]]/Table4[[#This Row],[pv_kWp]]</f>
        <v>0</v>
      </c>
      <c r="R288" s="1"/>
      <c r="S288" s="1"/>
      <c r="T288" s="1">
        <v>15</v>
      </c>
      <c r="U288" s="1"/>
      <c r="V288" s="1"/>
      <c r="W288" s="1"/>
      <c r="X288" s="1"/>
      <c r="Y288" s="1"/>
      <c r="Z288" s="1"/>
      <c r="AA288" s="1"/>
      <c r="AB288" s="1"/>
      <c r="AC288" s="1"/>
      <c r="AD288" s="1"/>
      <c r="AE288" s="1"/>
      <c r="AF288" s="1"/>
      <c r="AG288" s="1"/>
      <c r="AH288" s="6"/>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row>
    <row r="289" spans="1:63" ht="16" thickBot="1" x14ac:dyDescent="0.25">
      <c r="A289" s="3">
        <v>289</v>
      </c>
      <c r="B289" s="3" t="s">
        <v>273</v>
      </c>
      <c r="C289" s="3" t="s">
        <v>543</v>
      </c>
      <c r="D289" s="32" t="s">
        <v>40</v>
      </c>
      <c r="E289" s="32"/>
      <c r="F289" s="1">
        <v>2022</v>
      </c>
      <c r="G289" s="1" t="s">
        <v>274</v>
      </c>
      <c r="H289" s="1" t="s">
        <v>50</v>
      </c>
      <c r="I289" s="1" t="s">
        <v>273</v>
      </c>
      <c r="J289" s="113">
        <f>Table4[[#This Row],[total_cost_npr]]*(1/'Calculations &amp; Assumptions'!$C$6)</f>
        <v>29364.126250962276</v>
      </c>
      <c r="K289" s="113">
        <f>Table4[[#This Row],[system_cost_npr_per_kwp]]*(1/'Calculations &amp; Assumptions'!$C$6)</f>
        <v>1174.5650500384911</v>
      </c>
      <c r="L289" s="23">
        <f>IF(Table4[[#This Row],[total_cost_inr]]&gt;0, Table4[[#This Row],[total_cost_inr]]*'Calculations &amp; Assumptions'!$C$7,IF(Table4[[#This Row],[total_cost_eur]]&gt;0,Table4[[#This Row],[total_cost_eur]]*'Calculations &amp; Assumptions'!$C$5,0))</f>
        <v>3814400</v>
      </c>
      <c r="M289" s="77">
        <f>IF(H289="smartmeter_1ph",Table4[[#This Row],[total_cost_npr]],Table4[[#This Row],[total_cost_npr]]/Table4[[#This Row],[pv_kWp]])</f>
        <v>152576</v>
      </c>
      <c r="N289" s="89">
        <v>2384000</v>
      </c>
      <c r="O289" s="1">
        <f>Table4[[#This Row],[total_cost_inr]]/Table4[[#This Row],[pv_kWp]]</f>
        <v>95360</v>
      </c>
      <c r="P289" s="1"/>
      <c r="Q289" s="3">
        <f>Table4[[#This Row],[total_cost_eur]]/Table4[[#This Row],[pv_kWp]]</f>
        <v>0</v>
      </c>
      <c r="R289" s="1"/>
      <c r="S289" s="1"/>
      <c r="T289" s="1">
        <v>25</v>
      </c>
      <c r="U289" s="1"/>
      <c r="V289" s="1"/>
      <c r="W289" s="1"/>
      <c r="X289" s="1"/>
      <c r="Y289" s="1"/>
      <c r="Z289" s="1"/>
      <c r="AA289" s="1"/>
      <c r="AB289" s="1"/>
      <c r="AC289" s="1"/>
      <c r="AD289" s="1"/>
      <c r="AE289" s="1"/>
      <c r="AF289" s="1"/>
      <c r="AG289" s="1"/>
      <c r="AH289" s="6"/>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row>
    <row r="290" spans="1:63" ht="30" thickBot="1" x14ac:dyDescent="0.25">
      <c r="A290" s="3">
        <v>290</v>
      </c>
      <c r="B290" s="3" t="s">
        <v>53</v>
      </c>
      <c r="C290" s="3" t="s">
        <v>543</v>
      </c>
      <c r="D290" s="1" t="s">
        <v>40</v>
      </c>
      <c r="E290" s="1"/>
      <c r="F290" s="1">
        <v>2021</v>
      </c>
      <c r="G290" s="1" t="s">
        <v>56</v>
      </c>
      <c r="H290" s="1" t="s">
        <v>57</v>
      </c>
      <c r="I290" s="1"/>
      <c r="J290" s="113">
        <f>Table4[[#This Row],[total_cost_npr]]*(1/'Calculations &amp; Assumptions'!$C$6)</f>
        <v>504.89299461123943</v>
      </c>
      <c r="K290" s="113">
        <f>Table4[[#This Row],[system_cost_npr_per_kwp]]*(1/'Calculations &amp; Assumptions'!$C$6)</f>
        <v>50.489299461123942</v>
      </c>
      <c r="L290" s="23">
        <f>IF(Table4[[#This Row],[total_cost_inr]]&gt;0, Table4[[#This Row],[total_cost_inr]]*'Calculations &amp; Assumptions'!$C$7,IF(Table4[[#This Row],[total_cost_eur]]&gt;0,Table4[[#This Row],[total_cost_eur]]*'Calculations &amp; Assumptions'!$C$5,0))</f>
        <v>65585.600000000006</v>
      </c>
      <c r="M290" s="77">
        <f>IF(H290="smartmeter_1ph",Table4[[#This Row],[total_cost_npr]],Table4[[#This Row],[total_cost_npr]]/Table4[[#This Row],[pv_kWp]])</f>
        <v>6558.56</v>
      </c>
      <c r="N290" s="1">
        <v>40991</v>
      </c>
      <c r="O290" s="1">
        <f>Table4[[#This Row],[total_cost_inr]]/Table4[[#This Row],[pv_kWp]]</f>
        <v>4099.1000000000004</v>
      </c>
      <c r="P290" s="1"/>
      <c r="Q290" s="3"/>
      <c r="R290" s="1"/>
      <c r="S290" s="1"/>
      <c r="T290" s="1">
        <v>10</v>
      </c>
      <c r="U290" s="1"/>
      <c r="V290" s="1"/>
      <c r="W290" s="1"/>
      <c r="X290" s="1"/>
      <c r="Y290" s="1"/>
      <c r="Z290" s="1"/>
      <c r="AA290" s="1"/>
      <c r="AB290" s="1"/>
      <c r="AC290" s="1"/>
      <c r="AD290" s="1"/>
      <c r="AE290" s="1"/>
      <c r="AF290" s="1"/>
      <c r="AG290" s="1"/>
      <c r="AH290" s="6"/>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row>
    <row r="291" spans="1:63" ht="16" thickBot="1" x14ac:dyDescent="0.25">
      <c r="A291" s="3">
        <v>291</v>
      </c>
      <c r="B291" s="3" t="s">
        <v>62</v>
      </c>
      <c r="C291" s="3" t="s">
        <v>543</v>
      </c>
      <c r="D291" s="1" t="s">
        <v>40</v>
      </c>
      <c r="E291" s="1"/>
      <c r="F291" s="1">
        <v>2022</v>
      </c>
      <c r="G291" s="1" t="s">
        <v>56</v>
      </c>
      <c r="H291" s="1" t="s">
        <v>57</v>
      </c>
      <c r="I291" s="1"/>
      <c r="J291" s="113">
        <f>Table4[[#This Row],[total_cost_npr]]*(1/'Calculations &amp; Assumptions'!$C$6)</f>
        <v>189.45034642032331</v>
      </c>
      <c r="K291" s="113">
        <f>Table4[[#This Row],[system_cost_npr_per_kwp]]*(1/'Calculations &amp; Assumptions'!$C$6)</f>
        <v>3157.5057736720555</v>
      </c>
      <c r="L291" s="23">
        <f>IF(Table4[[#This Row],[total_cost_inr]]&gt;0, Table4[[#This Row],[total_cost_inr]]*'Calculations &amp; Assumptions'!$C$7,IF(Table4[[#This Row],[total_cost_eur]]&gt;0,Table4[[#This Row],[total_cost_eur]]*'Calculations &amp; Assumptions'!$C$5,0))</f>
        <v>24609.600000000002</v>
      </c>
      <c r="M291" s="77">
        <f>IF(H291="smartmeter_1ph",Table4[[#This Row],[total_cost_npr]],Table4[[#This Row],[total_cost_npr]]/Table4[[#This Row],[pv_kWp]])</f>
        <v>410160.00000000006</v>
      </c>
      <c r="N291" s="89">
        <v>15381</v>
      </c>
      <c r="O291" s="90">
        <f>Table4[[#This Row],[total_cost_inr]]/Table4[[#This Row],[pv_kWp]]</f>
        <v>256350</v>
      </c>
      <c r="P291" s="90"/>
      <c r="Q291" s="17"/>
      <c r="R291" s="90"/>
      <c r="S291" s="90"/>
      <c r="T291" s="1">
        <v>0.06</v>
      </c>
      <c r="U291" s="1"/>
      <c r="V291" s="1"/>
      <c r="W291" s="1"/>
      <c r="X291" s="1"/>
      <c r="Y291" s="1"/>
      <c r="Z291" s="1"/>
      <c r="AA291" s="1"/>
      <c r="AB291" s="1"/>
      <c r="AC291" s="1"/>
      <c r="AD291" s="1">
        <v>0.23</v>
      </c>
      <c r="AE291" s="1"/>
      <c r="AF291" s="1"/>
      <c r="AG291" s="1"/>
      <c r="AH291" s="6"/>
      <c r="AI291" s="1"/>
      <c r="AJ291" s="1"/>
      <c r="AK291" s="1"/>
      <c r="AL291" s="1" t="s">
        <v>63</v>
      </c>
      <c r="AM291" s="1"/>
      <c r="AN291" s="1">
        <v>24</v>
      </c>
      <c r="AO291" s="1">
        <v>5</v>
      </c>
      <c r="AP291" s="1"/>
      <c r="AQ291" s="1"/>
      <c r="AR291" s="1"/>
      <c r="AS291" s="1"/>
      <c r="AT291" s="1"/>
      <c r="AU291" s="1"/>
      <c r="AV291" s="1"/>
      <c r="AW291" s="1"/>
      <c r="AX291" s="1"/>
      <c r="AY291" s="1"/>
      <c r="AZ291" s="1"/>
      <c r="BA291" s="1"/>
      <c r="BB291" s="1"/>
      <c r="BC291" s="1"/>
      <c r="BD291" s="1"/>
      <c r="BE291" s="1"/>
      <c r="BF291" s="1"/>
      <c r="BG291" s="1"/>
      <c r="BH291" s="1"/>
      <c r="BI291" s="1"/>
      <c r="BJ291" s="1"/>
      <c r="BK291" s="1"/>
    </row>
    <row r="292" spans="1:63" ht="16" thickBot="1" x14ac:dyDescent="0.25">
      <c r="A292" s="3">
        <v>292</v>
      </c>
      <c r="B292" s="3" t="s">
        <v>62</v>
      </c>
      <c r="C292" s="3" t="s">
        <v>543</v>
      </c>
      <c r="D292" s="1" t="s">
        <v>40</v>
      </c>
      <c r="E292" s="1"/>
      <c r="F292" s="1">
        <v>2022</v>
      </c>
      <c r="G292" s="1" t="s">
        <v>56</v>
      </c>
      <c r="H292" s="1" t="s">
        <v>64</v>
      </c>
      <c r="I292" s="1"/>
      <c r="J292" s="113">
        <f>Table4[[#This Row],[total_cost_npr]]*(1/'Calculations &amp; Assumptions'!$C$6)</f>
        <v>193.72440338722095</v>
      </c>
      <c r="K292" s="113">
        <f>Table4[[#This Row],[system_cost_npr_per_kwp]]*(1/'Calculations &amp; Assumptions'!$C$6)</f>
        <v>3228.7400564536824</v>
      </c>
      <c r="L292" s="23">
        <f>IF(Table4[[#This Row],[total_cost_inr]]&gt;0, Table4[[#This Row],[total_cost_inr]]*'Calculations &amp; Assumptions'!$C$7,IF(Table4[[#This Row],[total_cost_eur]]&gt;0,Table4[[#This Row],[total_cost_eur]]*'Calculations &amp; Assumptions'!$C$5,0))</f>
        <v>25164.800000000003</v>
      </c>
      <c r="M292" s="77">
        <f>IF(H292="smartmeter_1ph",Table4[[#This Row],[total_cost_npr]],Table4[[#This Row],[total_cost_npr]]/Table4[[#This Row],[pv_kWp]])</f>
        <v>419413.33333333337</v>
      </c>
      <c r="N292" s="89">
        <v>15728</v>
      </c>
      <c r="O292" s="90">
        <f>Table4[[#This Row],[total_cost_inr]]/Table4[[#This Row],[pv_kWp]]</f>
        <v>262133.33333333334</v>
      </c>
      <c r="P292" s="90"/>
      <c r="Q292" s="17"/>
      <c r="R292" s="90"/>
      <c r="S292" s="90"/>
      <c r="T292" s="1">
        <v>0.06</v>
      </c>
      <c r="U292" s="1"/>
      <c r="V292" s="1"/>
      <c r="W292" s="1"/>
      <c r="X292" s="1"/>
      <c r="Y292" s="1"/>
      <c r="Z292" s="1"/>
      <c r="AA292" s="1"/>
      <c r="AB292" s="1"/>
      <c r="AC292" s="1"/>
      <c r="AD292" s="1">
        <v>0.23</v>
      </c>
      <c r="AE292" s="1"/>
      <c r="AF292" s="1"/>
      <c r="AG292" s="1"/>
      <c r="AH292" s="6"/>
      <c r="AI292" s="1"/>
      <c r="AJ292" s="1"/>
      <c r="AK292" s="1"/>
      <c r="AL292" s="1" t="s">
        <v>65</v>
      </c>
      <c r="AM292" s="1"/>
      <c r="AN292" s="1">
        <v>30</v>
      </c>
      <c r="AO292" s="1">
        <v>6</v>
      </c>
      <c r="AP292" s="1"/>
      <c r="AQ292" s="1"/>
      <c r="AR292" s="1"/>
      <c r="AS292" s="1"/>
      <c r="AT292" s="1"/>
      <c r="AU292" s="1"/>
      <c r="AV292" s="1"/>
      <c r="AW292" s="1"/>
      <c r="AX292" s="1"/>
      <c r="AY292" s="1"/>
      <c r="AZ292" s="1"/>
      <c r="BA292" s="1"/>
      <c r="BB292" s="1"/>
      <c r="BC292" s="1"/>
      <c r="BD292" s="1"/>
      <c r="BE292" s="1"/>
      <c r="BF292" s="1"/>
      <c r="BG292" s="1"/>
      <c r="BH292" s="1"/>
      <c r="BI292" s="1"/>
      <c r="BJ292" s="1"/>
      <c r="BK292" s="1"/>
    </row>
    <row r="293" spans="1:63" ht="16" thickBot="1" x14ac:dyDescent="0.25">
      <c r="A293" s="3">
        <v>293</v>
      </c>
      <c r="B293" s="3" t="s">
        <v>66</v>
      </c>
      <c r="C293" s="3" t="s">
        <v>543</v>
      </c>
      <c r="D293" s="1" t="s">
        <v>40</v>
      </c>
      <c r="E293" s="1"/>
      <c r="F293" s="1">
        <v>2022</v>
      </c>
      <c r="G293" s="1" t="s">
        <v>56</v>
      </c>
      <c r="H293" s="1" t="s">
        <v>57</v>
      </c>
      <c r="I293" s="1" t="s">
        <v>66</v>
      </c>
      <c r="J293" s="113">
        <f>Table4[[#This Row],[total_cost_npr]]*(1/'Calculations &amp; Assumptions'!$C$6)</f>
        <v>87.21785989222478</v>
      </c>
      <c r="K293" s="113">
        <f>Table4[[#This Row],[system_cost_npr_per_kwp]]*(1/'Calculations &amp; Assumptions'!$C$6)</f>
        <v>1162.9047985629973</v>
      </c>
      <c r="L293" s="23">
        <f>IF(Table4[[#This Row],[total_cost_inr]]&gt;0, Table4[[#This Row],[total_cost_inr]]*'Calculations &amp; Assumptions'!$C$7,IF(Table4[[#This Row],[total_cost_eur]]&gt;0,Table4[[#This Row],[total_cost_eur]]*'Calculations &amp; Assumptions'!$C$5,0))</f>
        <v>11329.6</v>
      </c>
      <c r="M293" s="77">
        <f>IF(H293="smartmeter_1ph",Table4[[#This Row],[total_cost_npr]],Table4[[#This Row],[total_cost_npr]]/Table4[[#This Row],[pv_kWp]])</f>
        <v>151061.33333333334</v>
      </c>
      <c r="N293" s="89">
        <v>7081</v>
      </c>
      <c r="O293" s="90">
        <f>Table4[[#This Row],[total_cost_inr]]/Table4[[#This Row],[pv_kWp]]</f>
        <v>94413.333333333343</v>
      </c>
      <c r="P293" s="1"/>
      <c r="Q293" s="3"/>
      <c r="R293" s="1"/>
      <c r="S293" s="1"/>
      <c r="T293" s="1">
        <v>7.4999999999999997E-2</v>
      </c>
      <c r="U293" s="1"/>
      <c r="V293" s="1"/>
      <c r="W293" s="1"/>
      <c r="X293" s="1"/>
      <c r="Y293" s="1"/>
      <c r="Z293" s="1"/>
      <c r="AA293" s="1"/>
      <c r="AB293" s="1"/>
      <c r="AC293" s="1"/>
      <c r="AD293" s="1">
        <v>0.23</v>
      </c>
      <c r="AE293" s="1"/>
      <c r="AF293" s="1"/>
      <c r="AG293" s="1"/>
      <c r="AH293" s="6"/>
      <c r="AI293" s="1"/>
      <c r="AJ293" s="1"/>
      <c r="AK293" s="1"/>
      <c r="AL293" s="1" t="s">
        <v>63</v>
      </c>
      <c r="AM293" s="1" t="s">
        <v>67</v>
      </c>
      <c r="AN293" s="1">
        <v>24</v>
      </c>
      <c r="AO293" s="1">
        <v>6</v>
      </c>
      <c r="AP293" s="1"/>
      <c r="AQ293" s="1"/>
      <c r="AR293" s="1"/>
      <c r="AS293" s="1"/>
      <c r="AT293" s="1"/>
      <c r="AU293" s="1"/>
      <c r="AV293" s="1"/>
      <c r="AW293" s="1"/>
      <c r="AX293" s="1"/>
      <c r="AY293" s="1"/>
      <c r="AZ293" s="1"/>
      <c r="BA293" s="1"/>
      <c r="BB293" s="1"/>
      <c r="BC293" s="1"/>
      <c r="BD293" s="1"/>
      <c r="BE293" s="1"/>
      <c r="BF293" s="1"/>
      <c r="BG293" s="1"/>
      <c r="BH293" s="1"/>
      <c r="BI293" s="1"/>
      <c r="BJ293" s="1"/>
      <c r="BK293" s="1"/>
    </row>
    <row r="294" spans="1:63" ht="16" thickBot="1" x14ac:dyDescent="0.25">
      <c r="A294" s="3">
        <v>294</v>
      </c>
      <c r="B294" s="3" t="s">
        <v>66</v>
      </c>
      <c r="C294" s="3" t="s">
        <v>543</v>
      </c>
      <c r="D294" s="1" t="s">
        <v>40</v>
      </c>
      <c r="E294" s="1"/>
      <c r="F294" s="1">
        <v>2022</v>
      </c>
      <c r="G294" s="1" t="s">
        <v>56</v>
      </c>
      <c r="H294" s="1" t="s">
        <v>57</v>
      </c>
      <c r="I294" s="1"/>
      <c r="J294" s="113">
        <f>Table4[[#This Row],[total_cost_npr]]*(1/'Calculations &amp; Assumptions'!$C$6)</f>
        <v>110.79291762894533</v>
      </c>
      <c r="K294" s="113">
        <f>Table4[[#This Row],[system_cost_npr_per_kwp]]*(1/'Calculations &amp; Assumptions'!$C$6)</f>
        <v>1107.9291762894534</v>
      </c>
      <c r="L294" s="23">
        <f>IF(Table4[[#This Row],[total_cost_inr]]&gt;0, Table4[[#This Row],[total_cost_inr]]*'Calculations &amp; Assumptions'!$C$7,IF(Table4[[#This Row],[total_cost_eur]]&gt;0,Table4[[#This Row],[total_cost_eur]]*'Calculations &amp; Assumptions'!$C$5,0))</f>
        <v>14392</v>
      </c>
      <c r="M294" s="77">
        <f>IF(H294="smartmeter_1ph",Table4[[#This Row],[total_cost_npr]],Table4[[#This Row],[total_cost_npr]]/Table4[[#This Row],[pv_kWp]])</f>
        <v>143920</v>
      </c>
      <c r="N294" s="89">
        <v>8995</v>
      </c>
      <c r="O294" s="90">
        <f>Table4[[#This Row],[total_cost_inr]]/Table4[[#This Row],[pv_kWp]]</f>
        <v>89950</v>
      </c>
      <c r="P294" s="1"/>
      <c r="Q294" s="3"/>
      <c r="R294" s="1"/>
      <c r="S294" s="1"/>
      <c r="T294" s="1">
        <v>0.1</v>
      </c>
      <c r="U294" s="1"/>
      <c r="V294" s="1"/>
      <c r="W294" s="1"/>
      <c r="X294" s="1"/>
      <c r="Y294" s="1"/>
      <c r="Z294" s="1"/>
      <c r="AA294" s="1"/>
      <c r="AB294" s="1"/>
      <c r="AC294" s="1"/>
      <c r="AD294" s="1">
        <v>0.307</v>
      </c>
      <c r="AE294" s="1"/>
      <c r="AF294" s="1"/>
      <c r="AG294" s="1"/>
      <c r="AH294" s="6"/>
      <c r="AI294" s="1"/>
      <c r="AJ294" s="1"/>
      <c r="AK294" s="1"/>
      <c r="AL294" s="1" t="s">
        <v>63</v>
      </c>
      <c r="AM294" s="1" t="s">
        <v>67</v>
      </c>
      <c r="AN294" s="1">
        <v>24</v>
      </c>
      <c r="AO294" s="1">
        <v>6</v>
      </c>
      <c r="AP294" s="1"/>
      <c r="AQ294" s="1"/>
      <c r="AR294" s="1"/>
      <c r="AS294" s="1"/>
      <c r="AT294" s="1"/>
      <c r="AU294" s="1"/>
      <c r="AV294" s="1"/>
      <c r="AW294" s="1"/>
      <c r="AX294" s="1"/>
      <c r="AY294" s="1"/>
      <c r="AZ294" s="1"/>
      <c r="BA294" s="1"/>
      <c r="BB294" s="1"/>
      <c r="BC294" s="1"/>
      <c r="BD294" s="1"/>
      <c r="BE294" s="1"/>
      <c r="BF294" s="1"/>
      <c r="BG294" s="1"/>
      <c r="BH294" s="1"/>
      <c r="BI294" s="1"/>
      <c r="BJ294" s="1"/>
      <c r="BK294" s="1"/>
    </row>
    <row r="295" spans="1:63" ht="16" thickBot="1" x14ac:dyDescent="0.25">
      <c r="A295" s="3">
        <v>295</v>
      </c>
      <c r="B295" s="3" t="s">
        <v>66</v>
      </c>
      <c r="C295" s="3" t="s">
        <v>543</v>
      </c>
      <c r="D295" s="1" t="s">
        <v>40</v>
      </c>
      <c r="E295" s="1"/>
      <c r="F295" s="1">
        <v>2022</v>
      </c>
      <c r="G295" s="1" t="s">
        <v>56</v>
      </c>
      <c r="H295" s="1" t="s">
        <v>64</v>
      </c>
      <c r="I295" s="1"/>
      <c r="J295" s="113">
        <f>Table4[[#This Row],[total_cost_npr]]*(1/'Calculations &amp; Assumptions'!$C$6)</f>
        <v>118.86066204772901</v>
      </c>
      <c r="K295" s="113">
        <f>Table4[[#This Row],[system_cost_npr_per_kwp]]*(1/'Calculations &amp; Assumptions'!$C$6)</f>
        <v>1188.6066204772901</v>
      </c>
      <c r="L295" s="23">
        <f>IF(Table4[[#This Row],[total_cost_inr]]&gt;0, Table4[[#This Row],[total_cost_inr]]*'Calculations &amp; Assumptions'!$C$7,IF(Table4[[#This Row],[total_cost_eur]]&gt;0,Table4[[#This Row],[total_cost_eur]]*'Calculations &amp; Assumptions'!$C$5,0))</f>
        <v>15440</v>
      </c>
      <c r="M295" s="77">
        <f>IF(H295="smartmeter_1ph",Table4[[#This Row],[total_cost_npr]],Table4[[#This Row],[total_cost_npr]]/Table4[[#This Row],[pv_kWp]])</f>
        <v>154400</v>
      </c>
      <c r="N295" s="89">
        <v>9650</v>
      </c>
      <c r="O295" s="90">
        <f>Table4[[#This Row],[total_cost_inr]]/Table4[[#This Row],[pv_kWp]]</f>
        <v>96500</v>
      </c>
      <c r="P295" s="1"/>
      <c r="Q295" s="3"/>
      <c r="R295" s="1"/>
      <c r="S295" s="1"/>
      <c r="T295" s="1">
        <v>0.1</v>
      </c>
      <c r="U295" s="1"/>
      <c r="V295" s="1"/>
      <c r="W295" s="1"/>
      <c r="X295" s="1"/>
      <c r="Y295" s="1"/>
      <c r="Z295" s="1"/>
      <c r="AA295" s="1"/>
      <c r="AB295" s="1"/>
      <c r="AC295" s="1"/>
      <c r="AD295" s="1">
        <v>0.38400000000000001</v>
      </c>
      <c r="AE295" s="1"/>
      <c r="AF295" s="1"/>
      <c r="AG295" s="1"/>
      <c r="AH295" s="6"/>
      <c r="AI295" s="1"/>
      <c r="AJ295" s="1"/>
      <c r="AK295" s="1"/>
      <c r="AL295" s="1" t="s">
        <v>65</v>
      </c>
      <c r="AM295" s="1" t="s">
        <v>67</v>
      </c>
      <c r="AN295" s="1">
        <v>30</v>
      </c>
      <c r="AO295" s="1">
        <v>6</v>
      </c>
      <c r="AP295" s="1"/>
      <c r="AQ295" s="1"/>
      <c r="AR295" s="1"/>
      <c r="AS295" s="1"/>
      <c r="AT295" s="1"/>
      <c r="AU295" s="1"/>
      <c r="AV295" s="1"/>
      <c r="AW295" s="1"/>
      <c r="AX295" s="1"/>
      <c r="AY295" s="1"/>
      <c r="AZ295" s="1"/>
      <c r="BA295" s="1"/>
      <c r="BB295" s="1"/>
      <c r="BC295" s="1"/>
      <c r="BD295" s="1"/>
      <c r="BE295" s="1"/>
      <c r="BF295" s="1"/>
      <c r="BG295" s="1"/>
      <c r="BH295" s="1"/>
      <c r="BI295" s="1"/>
      <c r="BJ295" s="1"/>
      <c r="BK295" s="1"/>
    </row>
    <row r="296" spans="1:63" ht="58" thickBot="1" x14ac:dyDescent="0.25">
      <c r="A296" s="3">
        <v>296</v>
      </c>
      <c r="B296" s="3" t="s">
        <v>68</v>
      </c>
      <c r="C296" s="3" t="s">
        <v>543</v>
      </c>
      <c r="D296" s="1" t="s">
        <v>40</v>
      </c>
      <c r="E296" s="1"/>
      <c r="F296" s="1">
        <v>2022</v>
      </c>
      <c r="G296" s="1" t="s">
        <v>56</v>
      </c>
      <c r="H296" s="1" t="s">
        <v>57</v>
      </c>
      <c r="I296" s="1" t="s">
        <v>68</v>
      </c>
      <c r="J296" s="113">
        <f>Table4[[#This Row],[total_cost_npr]]*(1/'Calculations &amp; Assumptions'!$C$6)</f>
        <v>128.09853733641262</v>
      </c>
      <c r="K296" s="113">
        <f>Table4[[#This Row],[system_cost_npr_per_kwp]]*(1/'Calculations &amp; Assumptions'!$C$6)</f>
        <v>6404.9268668206305</v>
      </c>
      <c r="L296" s="23">
        <f>IF(Table4[[#This Row],[total_cost_inr]]&gt;0, Table4[[#This Row],[total_cost_inr]]*'Calculations &amp; Assumptions'!$C$7,IF(Table4[[#This Row],[total_cost_eur]]&gt;0,Table4[[#This Row],[total_cost_eur]]*'Calculations &amp; Assumptions'!$C$5,0))</f>
        <v>16640</v>
      </c>
      <c r="M296" s="77">
        <f>IF(H296="smartmeter_1ph",Table4[[#This Row],[total_cost_npr]],Table4[[#This Row],[total_cost_npr]]/Table4[[#This Row],[pv_kWp]])</f>
        <v>832000</v>
      </c>
      <c r="N296" s="89">
        <v>10400</v>
      </c>
      <c r="O296" s="90">
        <f>Table4[[#This Row],[total_cost_inr]]/Table4[[#This Row],[pv_kWp]]</f>
        <v>520000</v>
      </c>
      <c r="P296" s="1"/>
      <c r="Q296" s="3"/>
      <c r="R296" s="1"/>
      <c r="S296" s="1"/>
      <c r="T296" s="1">
        <v>0.02</v>
      </c>
      <c r="U296" s="1"/>
      <c r="V296" s="1"/>
      <c r="W296" s="1"/>
      <c r="X296" s="1"/>
      <c r="Y296" s="1"/>
      <c r="Z296" s="1"/>
      <c r="AA296" s="1"/>
      <c r="AB296" s="1"/>
      <c r="AC296" s="1"/>
      <c r="AD296" s="1">
        <v>0.154</v>
      </c>
      <c r="AE296" s="1"/>
      <c r="AF296" s="1"/>
      <c r="AG296" s="1"/>
      <c r="AH296" s="6"/>
      <c r="AI296" s="1"/>
      <c r="AJ296" s="1"/>
      <c r="AK296" s="1"/>
      <c r="AL296" s="1" t="s">
        <v>63</v>
      </c>
      <c r="AM296" s="1" t="s">
        <v>69</v>
      </c>
      <c r="AN296" s="1">
        <v>24</v>
      </c>
      <c r="AO296" s="1"/>
      <c r="AP296" s="1"/>
      <c r="AQ296" s="1"/>
      <c r="AR296" s="1"/>
      <c r="AS296" s="1"/>
      <c r="AT296" s="1"/>
      <c r="AU296" s="1"/>
      <c r="AV296" s="1"/>
      <c r="AW296" s="1"/>
      <c r="AX296" s="1"/>
      <c r="AY296" s="1"/>
      <c r="AZ296" s="1"/>
      <c r="BA296" s="1"/>
      <c r="BB296" s="1"/>
      <c r="BC296" s="1"/>
      <c r="BD296" s="1"/>
      <c r="BE296" s="1"/>
      <c r="BF296" s="1"/>
      <c r="BG296" s="1"/>
      <c r="BH296" s="1"/>
      <c r="BI296" s="1"/>
      <c r="BJ296" s="1"/>
      <c r="BK296" s="1"/>
    </row>
    <row r="297" spans="1:63" ht="58" thickBot="1" x14ac:dyDescent="0.25">
      <c r="A297" s="3">
        <v>297</v>
      </c>
      <c r="B297" s="3" t="s">
        <v>68</v>
      </c>
      <c r="C297" s="3" t="s">
        <v>543</v>
      </c>
      <c r="D297" s="1" t="s">
        <v>40</v>
      </c>
      <c r="E297" s="1"/>
      <c r="F297" s="1">
        <v>2022</v>
      </c>
      <c r="G297" s="1" t="s">
        <v>56</v>
      </c>
      <c r="H297" s="1" t="s">
        <v>64</v>
      </c>
      <c r="I297" s="1"/>
      <c r="J297" s="113">
        <f>Table4[[#This Row],[total_cost_npr]]*(1/'Calculations &amp; Assumptions'!$C$6)</f>
        <v>210.00769822940723</v>
      </c>
      <c r="K297" s="113">
        <f>Table4[[#This Row],[system_cost_npr_per_kwp]]*(1/'Calculations &amp; Assumptions'!$C$6)</f>
        <v>7000.2566076469075</v>
      </c>
      <c r="L297" s="23">
        <f>IF(Table4[[#This Row],[total_cost_inr]]&gt;0, Table4[[#This Row],[total_cost_inr]]*'Calculations &amp; Assumptions'!$C$7,IF(Table4[[#This Row],[total_cost_eur]]&gt;0,Table4[[#This Row],[total_cost_eur]]*'Calculations &amp; Assumptions'!$C$5,0))</f>
        <v>27280</v>
      </c>
      <c r="M297" s="77">
        <f>IF(H297="smartmeter_1ph",Table4[[#This Row],[total_cost_npr]],Table4[[#This Row],[total_cost_npr]]/Table4[[#This Row],[pv_kWp]])</f>
        <v>909333.33333333337</v>
      </c>
      <c r="N297" s="89">
        <v>17050</v>
      </c>
      <c r="O297" s="90">
        <f>Table4[[#This Row],[total_cost_inr]]/Table4[[#This Row],[pv_kWp]]</f>
        <v>568333.33333333337</v>
      </c>
      <c r="P297" s="1"/>
      <c r="Q297" s="3"/>
      <c r="R297" s="1"/>
      <c r="S297" s="1"/>
      <c r="T297" s="1">
        <v>0.03</v>
      </c>
      <c r="U297" s="1"/>
      <c r="V297" s="1"/>
      <c r="W297" s="1"/>
      <c r="X297" s="1"/>
      <c r="Y297" s="1"/>
      <c r="Z297" s="1"/>
      <c r="AA297" s="1"/>
      <c r="AB297" s="1"/>
      <c r="AC297" s="1"/>
      <c r="AD297" s="1">
        <v>0.23</v>
      </c>
      <c r="AE297" s="1"/>
      <c r="AF297" s="1"/>
      <c r="AG297" s="1"/>
      <c r="AH297" s="6"/>
      <c r="AI297" s="1"/>
      <c r="AJ297" s="1"/>
      <c r="AK297" s="1"/>
      <c r="AL297" s="1" t="s">
        <v>65</v>
      </c>
      <c r="AM297" s="1" t="s">
        <v>69</v>
      </c>
      <c r="AN297" s="1">
        <v>30</v>
      </c>
      <c r="AO297" s="1"/>
      <c r="AP297" s="1"/>
      <c r="AQ297" s="1"/>
      <c r="AR297" s="1"/>
      <c r="AS297" s="1"/>
      <c r="AT297" s="1"/>
      <c r="AU297" s="1"/>
      <c r="AV297" s="1"/>
      <c r="AW297" s="1"/>
      <c r="AX297" s="1"/>
      <c r="AY297" s="1"/>
      <c r="AZ297" s="1"/>
      <c r="BA297" s="1"/>
      <c r="BB297" s="1"/>
      <c r="BC297" s="1"/>
      <c r="BD297" s="1"/>
      <c r="BE297" s="1"/>
      <c r="BF297" s="1"/>
      <c r="BG297" s="1"/>
      <c r="BH297" s="1"/>
      <c r="BI297" s="1"/>
      <c r="BJ297" s="1"/>
      <c r="BK297" s="1"/>
    </row>
    <row r="298" spans="1:63" ht="58" thickBot="1" x14ac:dyDescent="0.25">
      <c r="A298" s="3">
        <v>298</v>
      </c>
      <c r="B298" s="3" t="s">
        <v>68</v>
      </c>
      <c r="C298" s="3" t="s">
        <v>543</v>
      </c>
      <c r="D298" s="1" t="s">
        <v>40</v>
      </c>
      <c r="E298" s="1"/>
      <c r="F298" s="1">
        <v>2022</v>
      </c>
      <c r="G298" s="1" t="s">
        <v>56</v>
      </c>
      <c r="H298" s="1" t="s">
        <v>70</v>
      </c>
      <c r="I298" s="1"/>
      <c r="J298" s="113">
        <f>Table4[[#This Row],[total_cost_npr]]*(1/'Calculations &amp; Assumptions'!$C$6)</f>
        <v>227.86759045419552</v>
      </c>
      <c r="K298" s="113">
        <f>Table4[[#This Row],[system_cost_npr_per_kwp]]*(1/'Calculations &amp; Assumptions'!$C$6)</f>
        <v>5696.6897613548881</v>
      </c>
      <c r="L298" s="23">
        <f>IF(Table4[[#This Row],[total_cost_inr]]&gt;0, Table4[[#This Row],[total_cost_inr]]*'Calculations &amp; Assumptions'!$C$7,IF(Table4[[#This Row],[total_cost_eur]]&gt;0,Table4[[#This Row],[total_cost_eur]]*'Calculations &amp; Assumptions'!$C$5,0))</f>
        <v>29600</v>
      </c>
      <c r="M298" s="77">
        <f>IF(H298="smartmeter_1ph",Table4[[#This Row],[total_cost_npr]],Table4[[#This Row],[total_cost_npr]]/Table4[[#This Row],[pv_kWp]])</f>
        <v>740000</v>
      </c>
      <c r="N298" s="89">
        <v>18500</v>
      </c>
      <c r="O298" s="90">
        <f>Table4[[#This Row],[total_cost_inr]]/Table4[[#This Row],[pv_kWp]]</f>
        <v>462500</v>
      </c>
      <c r="P298" s="1"/>
      <c r="Q298" s="3"/>
      <c r="R298" s="1"/>
      <c r="S298" s="1"/>
      <c r="T298" s="1">
        <v>0.04</v>
      </c>
      <c r="U298" s="1"/>
      <c r="V298" s="1"/>
      <c r="W298" s="1"/>
      <c r="X298" s="1"/>
      <c r="Y298" s="1"/>
      <c r="Z298" s="1"/>
      <c r="AA298" s="1"/>
      <c r="AB298" s="1"/>
      <c r="AC298" s="1"/>
      <c r="AD298" s="1">
        <v>0.26</v>
      </c>
      <c r="AE298" s="1"/>
      <c r="AF298" s="1"/>
      <c r="AG298" s="1"/>
      <c r="AH298" s="6"/>
      <c r="AI298" s="1"/>
      <c r="AJ298" s="1"/>
      <c r="AK298" s="1"/>
      <c r="AL298" s="1" t="s">
        <v>71</v>
      </c>
      <c r="AM298" s="1" t="s">
        <v>69</v>
      </c>
      <c r="AN298" s="1">
        <v>40</v>
      </c>
      <c r="AO298" s="1"/>
      <c r="AP298" s="1"/>
      <c r="AQ298" s="1"/>
      <c r="AR298" s="1"/>
      <c r="AS298" s="1"/>
      <c r="AT298" s="1"/>
      <c r="AU298" s="1"/>
      <c r="AV298" s="1"/>
      <c r="AW298" s="1"/>
      <c r="AX298" s="1"/>
      <c r="AY298" s="1"/>
      <c r="AZ298" s="1"/>
      <c r="BA298" s="1"/>
      <c r="BB298" s="1"/>
      <c r="BC298" s="1"/>
      <c r="BD298" s="1"/>
      <c r="BE298" s="1"/>
      <c r="BF298" s="1"/>
      <c r="BG298" s="1"/>
      <c r="BH298" s="1"/>
      <c r="BI298" s="1"/>
      <c r="BJ298" s="1"/>
      <c r="BK298" s="1"/>
    </row>
    <row r="299" spans="1:63" ht="58" thickBot="1" x14ac:dyDescent="0.25">
      <c r="A299" s="3">
        <v>299</v>
      </c>
      <c r="B299" s="3" t="s">
        <v>68</v>
      </c>
      <c r="C299" s="3" t="s">
        <v>543</v>
      </c>
      <c r="D299" s="1" t="s">
        <v>40</v>
      </c>
      <c r="E299" s="1"/>
      <c r="F299" s="1">
        <v>2022</v>
      </c>
      <c r="G299" s="1" t="s">
        <v>56</v>
      </c>
      <c r="H299" s="1" t="s">
        <v>70</v>
      </c>
      <c r="I299" s="1"/>
      <c r="J299" s="113">
        <f>Table4[[#This Row],[total_cost_npr]]*(1/'Calculations &amp; Assumptions'!$C$6)</f>
        <v>256.19707467282524</v>
      </c>
      <c r="K299" s="113">
        <f>Table4[[#This Row],[system_cost_npr_per_kwp]]*(1/'Calculations &amp; Assumptions'!$C$6)</f>
        <v>4269.9512445470873</v>
      </c>
      <c r="L299" s="23">
        <f>IF(Table4[[#This Row],[total_cost_inr]]&gt;0, Table4[[#This Row],[total_cost_inr]]*'Calculations &amp; Assumptions'!$C$7,IF(Table4[[#This Row],[total_cost_eur]]&gt;0,Table4[[#This Row],[total_cost_eur]]*'Calculations &amp; Assumptions'!$C$5,0))</f>
        <v>33280</v>
      </c>
      <c r="M299" s="77">
        <f>IF(H299="smartmeter_1ph",Table4[[#This Row],[total_cost_npr]],Table4[[#This Row],[total_cost_npr]]/Table4[[#This Row],[pv_kWp]])</f>
        <v>554666.66666666674</v>
      </c>
      <c r="N299" s="89">
        <v>20800</v>
      </c>
      <c r="O299" s="90">
        <f>Table4[[#This Row],[total_cost_inr]]/Table4[[#This Row],[pv_kWp]]</f>
        <v>346666.66666666669</v>
      </c>
      <c r="P299" s="1"/>
      <c r="Q299" s="3"/>
      <c r="R299" s="1"/>
      <c r="S299" s="1"/>
      <c r="T299" s="1">
        <v>0.06</v>
      </c>
      <c r="U299" s="1"/>
      <c r="V299" s="1"/>
      <c r="W299" s="1"/>
      <c r="X299" s="1"/>
      <c r="Y299" s="1"/>
      <c r="Z299" s="1"/>
      <c r="AA299" s="1"/>
      <c r="AB299" s="1"/>
      <c r="AC299" s="1"/>
      <c r="AD299" s="1">
        <v>0.41</v>
      </c>
      <c r="AE299" s="1"/>
      <c r="AF299" s="1"/>
      <c r="AG299" s="1"/>
      <c r="AH299" s="6"/>
      <c r="AI299" s="1"/>
      <c r="AJ299" s="1"/>
      <c r="AK299" s="1"/>
      <c r="AL299" s="1" t="s">
        <v>71</v>
      </c>
      <c r="AM299" s="1" t="s">
        <v>69</v>
      </c>
      <c r="AN299" s="1">
        <v>60</v>
      </c>
      <c r="AO299" s="1"/>
      <c r="AP299" s="1"/>
      <c r="AQ299" s="1"/>
      <c r="AR299" s="1"/>
      <c r="AS299" s="1"/>
      <c r="AT299" s="1"/>
      <c r="AU299" s="1"/>
      <c r="AV299" s="1"/>
      <c r="AW299" s="1"/>
      <c r="AX299" s="1"/>
      <c r="AY299" s="1"/>
      <c r="AZ299" s="1"/>
      <c r="BA299" s="1"/>
      <c r="BB299" s="1"/>
      <c r="BC299" s="1"/>
      <c r="BD299" s="1"/>
      <c r="BE299" s="1"/>
      <c r="BF299" s="1"/>
      <c r="BG299" s="1"/>
      <c r="BH299" s="1"/>
      <c r="BI299" s="1"/>
      <c r="BJ299" s="1"/>
      <c r="BK299" s="1"/>
    </row>
    <row r="300" spans="1:63" ht="58" thickBot="1" x14ac:dyDescent="0.25">
      <c r="A300" s="3">
        <v>300</v>
      </c>
      <c r="B300" s="3" t="s">
        <v>72</v>
      </c>
      <c r="C300" s="3" t="s">
        <v>543</v>
      </c>
      <c r="D300" s="1" t="s">
        <v>40</v>
      </c>
      <c r="E300" s="1"/>
      <c r="F300" s="1">
        <v>2022</v>
      </c>
      <c r="G300" s="1" t="s">
        <v>56</v>
      </c>
      <c r="H300" s="1" t="s">
        <v>57</v>
      </c>
      <c r="I300" s="1" t="s">
        <v>72</v>
      </c>
      <c r="J300" s="113">
        <f>Table4[[#This Row],[total_cost_npr]]*(1/'Calculations &amp; Assumptions'!$C$6)</f>
        <v>107.15935334872978</v>
      </c>
      <c r="K300" s="113">
        <f>Table4[[#This Row],[system_cost_npr_per_kwp]]*(1/'Calculations &amp; Assumptions'!$C$6)</f>
        <v>1785.9892224788298</v>
      </c>
      <c r="L300" s="23">
        <f>IF(Table4[[#This Row],[total_cost_inr]]&gt;0, Table4[[#This Row],[total_cost_inr]]*'Calculations &amp; Assumptions'!$C$7,IF(Table4[[#This Row],[total_cost_eur]]&gt;0,Table4[[#This Row],[total_cost_eur]]*'Calculations &amp; Assumptions'!$C$5,0))</f>
        <v>13920</v>
      </c>
      <c r="M300" s="77">
        <f>IF(H300="smartmeter_1ph",Table4[[#This Row],[total_cost_npr]],Table4[[#This Row],[total_cost_npr]]/Table4[[#This Row],[pv_kWp]])</f>
        <v>232000</v>
      </c>
      <c r="N300" s="89">
        <v>8700</v>
      </c>
      <c r="O300" s="90">
        <f>Table4[[#This Row],[total_cost_inr]]/Table4[[#This Row],[pv_kWp]]</f>
        <v>145000</v>
      </c>
      <c r="P300" s="1"/>
      <c r="Q300" s="3"/>
      <c r="R300" s="1"/>
      <c r="S300" s="1"/>
      <c r="T300" s="1">
        <v>0.06</v>
      </c>
      <c r="U300" s="1"/>
      <c r="V300" s="1"/>
      <c r="W300" s="1"/>
      <c r="X300" s="1"/>
      <c r="Y300" s="1"/>
      <c r="Z300" s="1"/>
      <c r="AA300" s="1"/>
      <c r="AB300" s="1"/>
      <c r="AC300" s="1"/>
      <c r="AD300" s="1">
        <v>0.23</v>
      </c>
      <c r="AE300" s="1"/>
      <c r="AF300" s="1"/>
      <c r="AG300" s="1"/>
      <c r="AH300" s="6"/>
      <c r="AI300" s="1"/>
      <c r="AJ300" s="1"/>
      <c r="AK300" s="1"/>
      <c r="AL300" s="1" t="s">
        <v>63</v>
      </c>
      <c r="AM300" s="1" t="s">
        <v>69</v>
      </c>
      <c r="AN300" s="1">
        <v>20</v>
      </c>
      <c r="AO300" s="1">
        <v>6</v>
      </c>
      <c r="AP300" s="1"/>
      <c r="AQ300" s="1"/>
      <c r="AR300" s="1"/>
      <c r="AS300" s="1"/>
      <c r="AT300" s="1"/>
      <c r="AU300" s="1"/>
      <c r="AV300" s="1"/>
      <c r="AW300" s="1"/>
      <c r="AX300" s="1"/>
      <c r="AY300" s="1"/>
      <c r="AZ300" s="1"/>
      <c r="BA300" s="1"/>
      <c r="BB300" s="1"/>
      <c r="BC300" s="1"/>
      <c r="BD300" s="1"/>
      <c r="BE300" s="1"/>
      <c r="BF300" s="1"/>
      <c r="BG300" s="1"/>
      <c r="BH300" s="1"/>
      <c r="BI300" s="1"/>
      <c r="BJ300" s="1"/>
      <c r="BK300" s="1"/>
    </row>
    <row r="301" spans="1:63" ht="58" thickBot="1" x14ac:dyDescent="0.25">
      <c r="A301" s="3">
        <v>301</v>
      </c>
      <c r="B301" s="3" t="s">
        <v>72</v>
      </c>
      <c r="C301" s="3" t="s">
        <v>543</v>
      </c>
      <c r="D301" s="1" t="s">
        <v>40</v>
      </c>
      <c r="E301" s="1"/>
      <c r="F301" s="1">
        <v>2022</v>
      </c>
      <c r="G301" s="1" t="s">
        <v>56</v>
      </c>
      <c r="H301" s="1" t="s">
        <v>57</v>
      </c>
      <c r="I301" s="1"/>
      <c r="J301" s="113">
        <f>Table4[[#This Row],[total_cost_npr]]*(1/'Calculations &amp; Assumptions'!$C$6)</f>
        <v>123.17167051578136</v>
      </c>
      <c r="K301" s="113">
        <f>Table4[[#This Row],[system_cost_npr_per_kwp]]*(1/'Calculations &amp; Assumptions'!$C$6)</f>
        <v>2052.8611752630227</v>
      </c>
      <c r="L301" s="23">
        <f>IF(Table4[[#This Row],[total_cost_inr]]&gt;0, Table4[[#This Row],[total_cost_inr]]*'Calculations &amp; Assumptions'!$C$7,IF(Table4[[#This Row],[total_cost_eur]]&gt;0,Table4[[#This Row],[total_cost_eur]]*'Calculations &amp; Assumptions'!$C$5,0))</f>
        <v>16000</v>
      </c>
      <c r="M301" s="77">
        <f>IF(H301="smartmeter_1ph",Table4[[#This Row],[total_cost_npr]],Table4[[#This Row],[total_cost_npr]]/Table4[[#This Row],[pv_kWp]])</f>
        <v>266666.66666666669</v>
      </c>
      <c r="N301" s="89">
        <v>10000</v>
      </c>
      <c r="O301" s="90">
        <f>Table4[[#This Row],[total_cost_inr]]/Table4[[#This Row],[pv_kWp]]</f>
        <v>166666.66666666669</v>
      </c>
      <c r="P301" s="1"/>
      <c r="Q301" s="3"/>
      <c r="R301" s="1"/>
      <c r="S301" s="1"/>
      <c r="T301" s="1">
        <v>0.06</v>
      </c>
      <c r="U301" s="1"/>
      <c r="V301" s="1"/>
      <c r="W301" s="1"/>
      <c r="X301" s="1"/>
      <c r="Y301" s="1"/>
      <c r="Z301" s="1"/>
      <c r="AA301" s="1"/>
      <c r="AB301" s="1"/>
      <c r="AC301" s="1"/>
      <c r="AD301" s="1">
        <v>0.307</v>
      </c>
      <c r="AE301" s="1"/>
      <c r="AF301" s="1"/>
      <c r="AG301" s="1"/>
      <c r="AH301" s="6"/>
      <c r="AI301" s="1"/>
      <c r="AJ301" s="1"/>
      <c r="AK301" s="1"/>
      <c r="AL301" s="1" t="s">
        <v>63</v>
      </c>
      <c r="AM301" s="1" t="s">
        <v>69</v>
      </c>
      <c r="AN301" s="1">
        <v>25</v>
      </c>
      <c r="AO301" s="1">
        <v>7</v>
      </c>
      <c r="AP301" s="1"/>
      <c r="AQ301" s="1"/>
      <c r="AR301" s="1"/>
      <c r="AS301" s="1"/>
      <c r="AT301" s="1"/>
      <c r="AU301" s="1"/>
      <c r="AV301" s="1"/>
      <c r="AW301" s="1"/>
      <c r="AX301" s="1"/>
      <c r="AY301" s="1"/>
      <c r="AZ301" s="1"/>
      <c r="BA301" s="1"/>
      <c r="BB301" s="1"/>
      <c r="BC301" s="1"/>
      <c r="BD301" s="1"/>
      <c r="BE301" s="1"/>
      <c r="BF301" s="1"/>
      <c r="BG301" s="1"/>
      <c r="BH301" s="1"/>
      <c r="BI301" s="1"/>
      <c r="BJ301" s="1"/>
      <c r="BK301" s="1"/>
    </row>
    <row r="302" spans="1:63" ht="58" thickBot="1" x14ac:dyDescent="0.25">
      <c r="A302" s="3">
        <v>302</v>
      </c>
      <c r="B302" s="3" t="s">
        <v>72</v>
      </c>
      <c r="C302" s="3" t="s">
        <v>543</v>
      </c>
      <c r="D302" s="1" t="s">
        <v>40</v>
      </c>
      <c r="E302" s="1"/>
      <c r="F302" s="1">
        <v>2022</v>
      </c>
      <c r="G302" s="1" t="s">
        <v>56</v>
      </c>
      <c r="H302" s="1" t="s">
        <v>64</v>
      </c>
      <c r="I302" s="1"/>
      <c r="J302" s="113">
        <f>Table4[[#This Row],[total_cost_npr]]*(1/'Calculations &amp; Assumptions'!$C$6)</f>
        <v>133.02540415704388</v>
      </c>
      <c r="K302" s="113">
        <f>Table4[[#This Row],[system_cost_npr_per_kwp]]*(1/'Calculations &amp; Assumptions'!$C$6)</f>
        <v>2217.0900692840646</v>
      </c>
      <c r="L302" s="23">
        <f>IF(Table4[[#This Row],[total_cost_inr]]&gt;0, Table4[[#This Row],[total_cost_inr]]*'Calculations &amp; Assumptions'!$C$7,IF(Table4[[#This Row],[total_cost_eur]]&gt;0,Table4[[#This Row],[total_cost_eur]]*'Calculations &amp; Assumptions'!$C$5,0))</f>
        <v>17280</v>
      </c>
      <c r="M302" s="77">
        <f>IF(H302="smartmeter_1ph",Table4[[#This Row],[total_cost_npr]],Table4[[#This Row],[total_cost_npr]]/Table4[[#This Row],[pv_kWp]])</f>
        <v>288000</v>
      </c>
      <c r="N302" s="89">
        <v>10800</v>
      </c>
      <c r="O302" s="90">
        <f>Table4[[#This Row],[total_cost_inr]]/Table4[[#This Row],[pv_kWp]]</f>
        <v>180000</v>
      </c>
      <c r="P302" s="1"/>
      <c r="Q302" s="3"/>
      <c r="R302" s="1"/>
      <c r="S302" s="1"/>
      <c r="T302" s="1">
        <v>0.06</v>
      </c>
      <c r="U302" s="1"/>
      <c r="V302" s="1"/>
      <c r="W302" s="1"/>
      <c r="X302" s="1"/>
      <c r="Y302" s="1"/>
      <c r="Z302" s="1"/>
      <c r="AA302" s="1"/>
      <c r="AB302" s="1"/>
      <c r="AC302" s="1"/>
      <c r="AD302" s="1">
        <v>0.38400000000000001</v>
      </c>
      <c r="AE302" s="1"/>
      <c r="AF302" s="1"/>
      <c r="AG302" s="1"/>
      <c r="AH302" s="6"/>
      <c r="AI302" s="1"/>
      <c r="AJ302" s="1"/>
      <c r="AK302" s="1"/>
      <c r="AL302" s="1" t="s">
        <v>65</v>
      </c>
      <c r="AM302" s="1" t="s">
        <v>69</v>
      </c>
      <c r="AN302" s="1">
        <v>30</v>
      </c>
      <c r="AO302" s="1">
        <v>7</v>
      </c>
      <c r="AP302" s="1"/>
      <c r="AQ302" s="1"/>
      <c r="AR302" s="1"/>
      <c r="AS302" s="1"/>
      <c r="AT302" s="1"/>
      <c r="AU302" s="1"/>
      <c r="AV302" s="1"/>
      <c r="AW302" s="1"/>
      <c r="AX302" s="1"/>
      <c r="AY302" s="1"/>
      <c r="AZ302" s="1"/>
      <c r="BA302" s="1"/>
      <c r="BB302" s="1"/>
      <c r="BC302" s="1"/>
      <c r="BD302" s="1"/>
      <c r="BE302" s="1"/>
      <c r="BF302" s="1"/>
      <c r="BG302" s="1"/>
      <c r="BH302" s="1"/>
      <c r="BI302" s="1"/>
      <c r="BJ302" s="1"/>
      <c r="BK302" s="1"/>
    </row>
    <row r="303" spans="1:63" ht="58" thickBot="1" x14ac:dyDescent="0.25">
      <c r="A303" s="3">
        <v>303</v>
      </c>
      <c r="B303" s="3" t="s">
        <v>72</v>
      </c>
      <c r="C303" s="3" t="s">
        <v>543</v>
      </c>
      <c r="D303" s="1" t="s">
        <v>40</v>
      </c>
      <c r="E303" s="1"/>
      <c r="F303" s="1">
        <v>2022</v>
      </c>
      <c r="G303" s="1" t="s">
        <v>56</v>
      </c>
      <c r="H303" s="1" t="s">
        <v>70</v>
      </c>
      <c r="I303" s="1"/>
      <c r="J303" s="113">
        <f>Table4[[#This Row],[total_cost_npr]]*(1/'Calculations &amp; Assumptions'!$C$6)</f>
        <v>187.83679753656656</v>
      </c>
      <c r="K303" s="113">
        <f>Table4[[#This Row],[system_cost_npr_per_kwp]]*(1/'Calculations &amp; Assumptions'!$C$6)</f>
        <v>1878.3679753656656</v>
      </c>
      <c r="L303" s="23">
        <f>IF(Table4[[#This Row],[total_cost_inr]]&gt;0, Table4[[#This Row],[total_cost_inr]]*'Calculations &amp; Assumptions'!$C$7,IF(Table4[[#This Row],[total_cost_eur]]&gt;0,Table4[[#This Row],[total_cost_eur]]*'Calculations &amp; Assumptions'!$C$5,0))</f>
        <v>24400</v>
      </c>
      <c r="M303" s="77">
        <f>IF(H303="smartmeter_1ph",Table4[[#This Row],[total_cost_npr]],Table4[[#This Row],[total_cost_npr]]/Table4[[#This Row],[pv_kWp]])</f>
        <v>244000</v>
      </c>
      <c r="N303" s="89">
        <v>15250</v>
      </c>
      <c r="O303" s="90">
        <f>Table4[[#This Row],[total_cost_inr]]/Table4[[#This Row],[pv_kWp]]</f>
        <v>152500</v>
      </c>
      <c r="P303" s="1"/>
      <c r="Q303" s="3"/>
      <c r="R303" s="1"/>
      <c r="S303" s="1"/>
      <c r="T303" s="1">
        <v>0.1</v>
      </c>
      <c r="U303" s="1"/>
      <c r="V303" s="1"/>
      <c r="W303" s="1"/>
      <c r="X303" s="1"/>
      <c r="Y303" s="1"/>
      <c r="Z303" s="1"/>
      <c r="AA303" s="1"/>
      <c r="AB303" s="1"/>
      <c r="AC303" s="1"/>
      <c r="AD303" s="1">
        <v>0.46100000000000002</v>
      </c>
      <c r="AE303" s="1"/>
      <c r="AF303" s="1"/>
      <c r="AG303" s="1"/>
      <c r="AH303" s="6"/>
      <c r="AI303" s="1"/>
      <c r="AJ303" s="1"/>
      <c r="AK303" s="1"/>
      <c r="AL303" s="1" t="s">
        <v>71</v>
      </c>
      <c r="AM303" s="1" t="s">
        <v>69</v>
      </c>
      <c r="AN303" s="1">
        <v>40</v>
      </c>
      <c r="AO303" s="1">
        <v>8</v>
      </c>
      <c r="AP303" s="1"/>
      <c r="AQ303" s="1"/>
      <c r="AR303" s="1"/>
      <c r="AS303" s="1"/>
      <c r="AT303" s="1"/>
      <c r="AU303" s="1"/>
      <c r="AV303" s="1"/>
      <c r="AW303" s="1"/>
      <c r="AX303" s="1"/>
      <c r="AY303" s="1"/>
      <c r="AZ303" s="1"/>
      <c r="BA303" s="1"/>
      <c r="BB303" s="1"/>
      <c r="BC303" s="1"/>
      <c r="BD303" s="1"/>
      <c r="BE303" s="1"/>
      <c r="BF303" s="1"/>
      <c r="BG303" s="1"/>
      <c r="BH303" s="1"/>
      <c r="BI303" s="1"/>
      <c r="BJ303" s="1"/>
      <c r="BK303" s="1"/>
    </row>
    <row r="304" spans="1:63" ht="58" thickBot="1" x14ac:dyDescent="0.25">
      <c r="A304" s="3">
        <v>304</v>
      </c>
      <c r="B304" s="3" t="s">
        <v>72</v>
      </c>
      <c r="C304" s="3" t="s">
        <v>543</v>
      </c>
      <c r="D304" s="1" t="s">
        <v>40</v>
      </c>
      <c r="E304" s="1"/>
      <c r="F304" s="1">
        <v>2022</v>
      </c>
      <c r="G304" s="1" t="s">
        <v>56</v>
      </c>
      <c r="H304" s="1" t="s">
        <v>70</v>
      </c>
      <c r="I304" s="1"/>
      <c r="J304" s="113">
        <f>Table4[[#This Row],[total_cost_npr]]*(1/'Calculations &amp; Assumptions'!$C$6)</f>
        <v>223.55658198614316</v>
      </c>
      <c r="K304" s="113">
        <f>Table4[[#This Row],[system_cost_npr_per_kwp]]*(1/'Calculations &amp; Assumptions'!$C$6)</f>
        <v>1862.971516551193</v>
      </c>
      <c r="L304" s="23">
        <f>IF(Table4[[#This Row],[total_cost_inr]]&gt;0, Table4[[#This Row],[total_cost_inr]]*'Calculations &amp; Assumptions'!$C$7,IF(Table4[[#This Row],[total_cost_eur]]&gt;0,Table4[[#This Row],[total_cost_eur]]*'Calculations &amp; Assumptions'!$C$5,0))</f>
        <v>29040</v>
      </c>
      <c r="M304" s="77">
        <f>IF(H304="smartmeter_1ph",Table4[[#This Row],[total_cost_npr]],Table4[[#This Row],[total_cost_npr]]/Table4[[#This Row],[pv_kWp]])</f>
        <v>242000</v>
      </c>
      <c r="N304" s="89">
        <v>18150</v>
      </c>
      <c r="O304" s="90">
        <f>Table4[[#This Row],[total_cost_inr]]/Table4[[#This Row],[pv_kWp]]</f>
        <v>151250</v>
      </c>
      <c r="P304" s="1"/>
      <c r="Q304" s="3"/>
      <c r="R304" s="1"/>
      <c r="S304" s="1"/>
      <c r="T304" s="1">
        <v>0.12</v>
      </c>
      <c r="U304" s="1"/>
      <c r="V304" s="1"/>
      <c r="W304" s="1"/>
      <c r="X304" s="1"/>
      <c r="Y304" s="1"/>
      <c r="Z304" s="1"/>
      <c r="AA304" s="1"/>
      <c r="AB304" s="1"/>
      <c r="AC304" s="1"/>
      <c r="AD304" s="1">
        <v>0.61399999999999999</v>
      </c>
      <c r="AE304" s="1"/>
      <c r="AF304" s="1"/>
      <c r="AG304" s="1"/>
      <c r="AH304" s="6"/>
      <c r="AI304" s="1"/>
      <c r="AJ304" s="1"/>
      <c r="AK304" s="1"/>
      <c r="AL304" s="1" t="s">
        <v>71</v>
      </c>
      <c r="AM304" s="1" t="s">
        <v>69</v>
      </c>
      <c r="AN304" s="1">
        <v>50</v>
      </c>
      <c r="AO304" s="1">
        <v>8</v>
      </c>
      <c r="AP304" s="1"/>
      <c r="AQ304" s="1"/>
      <c r="AR304" s="1"/>
      <c r="AS304" s="1"/>
      <c r="AT304" s="1"/>
      <c r="AU304" s="1"/>
      <c r="AV304" s="1"/>
      <c r="AW304" s="1"/>
      <c r="AX304" s="1"/>
      <c r="AY304" s="1"/>
      <c r="AZ304" s="1"/>
      <c r="BA304" s="1"/>
      <c r="BB304" s="1"/>
      <c r="BC304" s="1"/>
      <c r="BD304" s="1"/>
      <c r="BE304" s="1"/>
      <c r="BF304" s="1"/>
      <c r="BG304" s="1"/>
      <c r="BH304" s="1"/>
      <c r="BI304" s="1"/>
      <c r="BJ304" s="1"/>
      <c r="BK304" s="1"/>
    </row>
    <row r="305" spans="1:63" ht="16" thickBot="1" x14ac:dyDescent="0.25">
      <c r="A305" s="3">
        <v>305</v>
      </c>
      <c r="B305" s="3" t="s">
        <v>73</v>
      </c>
      <c r="C305" s="3" t="s">
        <v>543</v>
      </c>
      <c r="D305" s="1" t="s">
        <v>40</v>
      </c>
      <c r="E305" s="1"/>
      <c r="F305" s="1">
        <v>2022</v>
      </c>
      <c r="G305" s="1" t="s">
        <v>56</v>
      </c>
      <c r="H305" s="1" t="s">
        <v>70</v>
      </c>
      <c r="I305" s="1" t="s">
        <v>73</v>
      </c>
      <c r="J305" s="113">
        <f>Table4[[#This Row],[total_cost_npr]]*(1/'Calculations &amp; Assumptions'!$C$6)</f>
        <v>344.88067744418782</v>
      </c>
      <c r="K305" s="113">
        <f>Table4[[#This Row],[system_cost_npr_per_kwp]]*(1/'Calculations &amp; Assumptions'!$C$6)</f>
        <v>2299.2045162945856</v>
      </c>
      <c r="L305" s="23">
        <f>IF(Table4[[#This Row],[total_cost_inr]]&gt;0, Table4[[#This Row],[total_cost_inr]]*'Calculations &amp; Assumptions'!$C$7,IF(Table4[[#This Row],[total_cost_eur]]&gt;0,Table4[[#This Row],[total_cost_eur]]*'Calculations &amp; Assumptions'!$C$5,0))</f>
        <v>44800</v>
      </c>
      <c r="M305" s="77">
        <f>IF(H305="smartmeter_1ph",Table4[[#This Row],[total_cost_npr]],Table4[[#This Row],[total_cost_npr]]/Table4[[#This Row],[pv_kWp]])</f>
        <v>298666.66666666669</v>
      </c>
      <c r="N305" s="89">
        <v>28000</v>
      </c>
      <c r="O305" s="90">
        <f>Table4[[#This Row],[total_cost_inr]]/Table4[[#This Row],[pv_kWp]]</f>
        <v>186666.66666666669</v>
      </c>
      <c r="P305" s="1"/>
      <c r="Q305" s="3"/>
      <c r="R305" s="1"/>
      <c r="S305" s="1"/>
      <c r="T305" s="1">
        <v>0.15</v>
      </c>
      <c r="U305" s="1"/>
      <c r="V305" s="1"/>
      <c r="W305" s="1"/>
      <c r="X305" s="1"/>
      <c r="Y305" s="1"/>
      <c r="Z305" s="1"/>
      <c r="AA305" s="1"/>
      <c r="AB305" s="1"/>
      <c r="AC305" s="1"/>
      <c r="AD305" s="1">
        <v>0.38400000000000001</v>
      </c>
      <c r="AE305" s="1"/>
      <c r="AF305" s="1"/>
      <c r="AG305" s="1"/>
      <c r="AH305" s="6"/>
      <c r="AI305" s="1"/>
      <c r="AJ305" s="1"/>
      <c r="AK305" s="1"/>
      <c r="AL305" s="1" t="s">
        <v>71</v>
      </c>
      <c r="AM305" s="1"/>
      <c r="AN305" s="1">
        <v>40</v>
      </c>
      <c r="AO305" s="1">
        <v>7</v>
      </c>
      <c r="AP305" s="1"/>
      <c r="AQ305" s="1"/>
      <c r="AR305" s="1"/>
      <c r="AS305" s="1"/>
      <c r="AT305" s="1"/>
      <c r="AU305" s="1"/>
      <c r="AV305" s="1"/>
      <c r="AW305" s="1"/>
      <c r="AX305" s="1"/>
      <c r="AY305" s="1"/>
      <c r="AZ305" s="1"/>
      <c r="BA305" s="1"/>
      <c r="BB305" s="1"/>
      <c r="BC305" s="1"/>
      <c r="BD305" s="1"/>
      <c r="BE305" s="1"/>
      <c r="BF305" s="1"/>
      <c r="BG305" s="1"/>
      <c r="BH305" s="1"/>
      <c r="BI305" s="1"/>
      <c r="BJ305" s="1"/>
      <c r="BK305" s="1"/>
    </row>
    <row r="306" spans="1:63" ht="16" thickBot="1" x14ac:dyDescent="0.25">
      <c r="A306" s="3">
        <v>306</v>
      </c>
      <c r="B306" s="3" t="s">
        <v>73</v>
      </c>
      <c r="C306" s="3" t="s">
        <v>543</v>
      </c>
      <c r="D306" s="1" t="s">
        <v>40</v>
      </c>
      <c r="E306" s="1"/>
      <c r="F306" s="1">
        <v>2022</v>
      </c>
      <c r="G306" s="1" t="s">
        <v>56</v>
      </c>
      <c r="H306" s="1" t="s">
        <v>64</v>
      </c>
      <c r="I306" s="1" t="s">
        <v>73</v>
      </c>
      <c r="J306" s="113">
        <f>Table4[[#This Row],[total_cost_npr]]*(1/'Calculations &amp; Assumptions'!$C$6)</f>
        <v>246.34334103156272</v>
      </c>
      <c r="K306" s="113">
        <f>Table4[[#This Row],[system_cost_npr_per_kwp]]*(1/'Calculations &amp; Assumptions'!$C$6)</f>
        <v>2463.433410315627</v>
      </c>
      <c r="L306" s="23">
        <f>IF(Table4[[#This Row],[total_cost_inr]]&gt;0, Table4[[#This Row],[total_cost_inr]]*'Calculations &amp; Assumptions'!$C$7,IF(Table4[[#This Row],[total_cost_eur]]&gt;0,Table4[[#This Row],[total_cost_eur]]*'Calculations &amp; Assumptions'!$C$5,0))</f>
        <v>32000</v>
      </c>
      <c r="M306" s="77">
        <f>IF(H306="smartmeter_1ph",Table4[[#This Row],[total_cost_npr]],Table4[[#This Row],[total_cost_npr]]/Table4[[#This Row],[pv_kWp]])</f>
        <v>320000</v>
      </c>
      <c r="N306" s="89">
        <v>20000</v>
      </c>
      <c r="O306" s="90">
        <f>Table4[[#This Row],[total_cost_inr]]/Table4[[#This Row],[pv_kWp]]</f>
        <v>200000</v>
      </c>
      <c r="P306" s="1"/>
      <c r="Q306" s="3"/>
      <c r="R306" s="1"/>
      <c r="S306" s="1"/>
      <c r="T306" s="1">
        <v>0.1</v>
      </c>
      <c r="U306" s="1"/>
      <c r="V306" s="1"/>
      <c r="W306" s="1"/>
      <c r="X306" s="1"/>
      <c r="Y306" s="1"/>
      <c r="Z306" s="1"/>
      <c r="AA306" s="1"/>
      <c r="AB306" s="1"/>
      <c r="AC306" s="1"/>
      <c r="AD306" s="1">
        <v>0.38400000000000001</v>
      </c>
      <c r="AE306" s="1"/>
      <c r="AF306" s="1"/>
      <c r="AG306" s="1"/>
      <c r="AH306" s="6"/>
      <c r="AI306" s="1"/>
      <c r="AJ306" s="1"/>
      <c r="AK306" s="1"/>
      <c r="AL306" s="1" t="s">
        <v>65</v>
      </c>
      <c r="AM306" s="1"/>
      <c r="AN306" s="1">
        <v>25</v>
      </c>
      <c r="AO306" s="1">
        <v>5</v>
      </c>
      <c r="AP306" s="1"/>
      <c r="AQ306" s="1"/>
      <c r="AR306" s="1"/>
      <c r="AS306" s="1"/>
      <c r="AT306" s="1"/>
      <c r="AU306" s="1"/>
      <c r="AV306" s="1"/>
      <c r="AW306" s="1"/>
      <c r="AX306" s="1"/>
      <c r="AY306" s="1"/>
      <c r="AZ306" s="1"/>
      <c r="BA306" s="1"/>
      <c r="BB306" s="1"/>
      <c r="BC306" s="1"/>
      <c r="BD306" s="1"/>
      <c r="BE306" s="1"/>
      <c r="BF306" s="1"/>
      <c r="BG306" s="1"/>
      <c r="BH306" s="1"/>
      <c r="BI306" s="1"/>
      <c r="BJ306" s="1"/>
      <c r="BK306" s="1"/>
    </row>
    <row r="307" spans="1:63" ht="16" thickBot="1" x14ac:dyDescent="0.25">
      <c r="A307" s="3">
        <v>307</v>
      </c>
      <c r="B307" s="3" t="s">
        <v>59</v>
      </c>
      <c r="C307" s="3" t="s">
        <v>543</v>
      </c>
      <c r="D307" s="1" t="s">
        <v>40</v>
      </c>
      <c r="E307" s="1"/>
      <c r="F307" s="1">
        <v>2022</v>
      </c>
      <c r="G307" s="1" t="s">
        <v>56</v>
      </c>
      <c r="H307" s="1"/>
      <c r="I307" s="1"/>
      <c r="J307" s="113">
        <f>Table4[[#This Row],[total_cost_npr]]*(1/'Calculations &amp; Assumptions'!$C$6)</f>
        <v>238.95304080061584</v>
      </c>
      <c r="K307" s="113">
        <f>Table4[[#This Row],[system_cost_npr_per_kwp]]*(1/'Calculations &amp; Assumptions'!$C$6)</f>
        <v>3186.0405440082113</v>
      </c>
      <c r="L307" s="23">
        <f>IF(Table4[[#This Row],[total_cost_inr]]&gt;0, Table4[[#This Row],[total_cost_inr]]*'Calculations &amp; Assumptions'!$C$7,IF(Table4[[#This Row],[total_cost_eur]]&gt;0,Table4[[#This Row],[total_cost_eur]]*'Calculations &amp; Assumptions'!$C$5,0))</f>
        <v>31040</v>
      </c>
      <c r="M307" s="77">
        <f>IF(H307="smartmeter_1ph",Table4[[#This Row],[total_cost_npr]],Table4[[#This Row],[total_cost_npr]]/Table4[[#This Row],[pv_kWp]])</f>
        <v>413866.66666666669</v>
      </c>
      <c r="N307" s="89">
        <v>19400</v>
      </c>
      <c r="O307" s="90">
        <f>Table4[[#This Row],[total_cost_inr]]/Table4[[#This Row],[pv_kWp]]</f>
        <v>258666.66666666669</v>
      </c>
      <c r="P307" s="1"/>
      <c r="Q307" s="3"/>
      <c r="R307" s="1"/>
      <c r="S307" s="1"/>
      <c r="T307" s="1">
        <v>7.4999999999999997E-2</v>
      </c>
      <c r="U307" s="1"/>
      <c r="V307" s="1"/>
      <c r="W307" s="1"/>
      <c r="X307" s="1"/>
      <c r="Y307" s="1"/>
      <c r="Z307" s="1"/>
      <c r="AA307" s="1"/>
      <c r="AB307" s="1"/>
      <c r="AC307" s="1"/>
      <c r="AD307" s="1">
        <v>0.38400000000000001</v>
      </c>
      <c r="AE307" s="1"/>
      <c r="AF307" s="1"/>
      <c r="AG307" s="1"/>
      <c r="AH307" s="6"/>
      <c r="AI307" s="1"/>
      <c r="AJ307" s="1"/>
      <c r="AK307" s="1"/>
      <c r="AL307" s="1"/>
      <c r="AM307" s="1"/>
      <c r="AN307" s="1">
        <v>12</v>
      </c>
      <c r="AO307" s="1"/>
      <c r="AP307" s="1"/>
      <c r="AQ307" s="1"/>
      <c r="AR307" s="1"/>
      <c r="AS307" s="1"/>
      <c r="AT307" s="1"/>
      <c r="AU307" s="1"/>
      <c r="AV307" s="1"/>
      <c r="AW307" s="1"/>
      <c r="AX307" s="1"/>
      <c r="AY307" s="1"/>
      <c r="AZ307" s="1"/>
      <c r="BA307" s="1"/>
      <c r="BB307" s="1"/>
      <c r="BC307" s="1"/>
      <c r="BD307" s="1"/>
      <c r="BE307" s="1"/>
      <c r="BF307" s="1"/>
      <c r="BG307" s="1"/>
      <c r="BH307" s="1"/>
      <c r="BI307" s="1"/>
      <c r="BJ307" s="1"/>
      <c r="BK307" s="1"/>
    </row>
    <row r="308" spans="1:63" ht="16" thickBot="1" x14ac:dyDescent="0.25">
      <c r="A308" s="3">
        <v>308</v>
      </c>
      <c r="B308" s="3" t="s">
        <v>59</v>
      </c>
      <c r="C308" s="3" t="s">
        <v>543</v>
      </c>
      <c r="D308" s="1" t="s">
        <v>40</v>
      </c>
      <c r="E308" s="1"/>
      <c r="F308" s="1">
        <v>2022</v>
      </c>
      <c r="G308" s="1" t="s">
        <v>56</v>
      </c>
      <c r="H308" s="1"/>
      <c r="I308" s="1"/>
      <c r="J308" s="113">
        <f>Table4[[#This Row],[total_cost_npr]]*(1/'Calculations &amp; Assumptions'!$C$6)</f>
        <v>174.90377213240953</v>
      </c>
      <c r="K308" s="113">
        <f>Table4[[#This Row],[system_cost_npr_per_kwp]]*(1/'Calculations &amp; Assumptions'!$C$6)</f>
        <v>2332.0502950987939</v>
      </c>
      <c r="L308" s="23">
        <f>IF(Table4[[#This Row],[total_cost_inr]]&gt;0, Table4[[#This Row],[total_cost_inr]]*'Calculations &amp; Assumptions'!$C$7,IF(Table4[[#This Row],[total_cost_eur]]&gt;0,Table4[[#This Row],[total_cost_eur]]*'Calculations &amp; Assumptions'!$C$5,0))</f>
        <v>22720</v>
      </c>
      <c r="M308" s="77">
        <f>IF(H308="smartmeter_1ph",Table4[[#This Row],[total_cost_npr]],Table4[[#This Row],[total_cost_npr]]/Table4[[#This Row],[pv_kWp]])</f>
        <v>302933.33333333337</v>
      </c>
      <c r="N308" s="89">
        <v>14200</v>
      </c>
      <c r="O308" s="90">
        <f>Table4[[#This Row],[total_cost_inr]]/Table4[[#This Row],[pv_kWp]]</f>
        <v>189333.33333333334</v>
      </c>
      <c r="P308" s="1"/>
      <c r="Q308" s="3"/>
      <c r="R308" s="1"/>
      <c r="S308" s="1"/>
      <c r="T308" s="1">
        <v>7.4999999999999997E-2</v>
      </c>
      <c r="U308" s="1"/>
      <c r="V308" s="1"/>
      <c r="W308" s="1"/>
      <c r="X308" s="1"/>
      <c r="Y308" s="1"/>
      <c r="Z308" s="1"/>
      <c r="AA308" s="1"/>
      <c r="AB308" s="1"/>
      <c r="AC308" s="1"/>
      <c r="AD308" s="1">
        <v>0.38400000000000001</v>
      </c>
      <c r="AE308" s="1"/>
      <c r="AF308" s="1"/>
      <c r="AG308" s="1"/>
      <c r="AH308" s="6"/>
      <c r="AI308" s="1"/>
      <c r="AJ308" s="1"/>
      <c r="AK308" s="1"/>
      <c r="AL308" s="1"/>
      <c r="AM308" s="1"/>
      <c r="AN308" s="1">
        <v>12</v>
      </c>
      <c r="AO308" s="1"/>
      <c r="AP308" s="1"/>
      <c r="AQ308" s="1"/>
      <c r="AR308" s="1"/>
      <c r="AS308" s="1"/>
      <c r="AT308" s="1"/>
      <c r="AU308" s="1"/>
      <c r="AV308" s="1"/>
      <c r="AW308" s="1"/>
      <c r="AX308" s="1"/>
      <c r="AY308" s="1"/>
      <c r="AZ308" s="1"/>
      <c r="BA308" s="1"/>
      <c r="BB308" s="1"/>
      <c r="BC308" s="1"/>
      <c r="BD308" s="1"/>
      <c r="BE308" s="1"/>
      <c r="BF308" s="1"/>
      <c r="BG308" s="1"/>
      <c r="BH308" s="1"/>
      <c r="BI308" s="1"/>
      <c r="BJ308" s="1"/>
      <c r="BK308" s="1"/>
    </row>
    <row r="309" spans="1:63" ht="30" thickBot="1" x14ac:dyDescent="0.25">
      <c r="A309" s="3">
        <v>309</v>
      </c>
      <c r="B309" s="3" t="s">
        <v>463</v>
      </c>
      <c r="C309" s="3" t="s">
        <v>543</v>
      </c>
      <c r="D309" s="1" t="s">
        <v>40</v>
      </c>
      <c r="E309" s="1"/>
      <c r="F309" s="1">
        <v>2022</v>
      </c>
      <c r="G309" s="1" t="s">
        <v>41</v>
      </c>
      <c r="H309" s="1" t="s">
        <v>47</v>
      </c>
      <c r="I309" s="1"/>
      <c r="J309" s="113">
        <f>Table4[[#This Row],[total_cost_npr]]*(1/'Calculations &amp; Assumptions'!$C$6)</f>
        <v>6343.3410315627398</v>
      </c>
      <c r="K309" s="113">
        <f>Table4[[#This Row],[system_cost_npr_per_kwp]]*(1/'Calculations &amp; Assumptions'!$C$6)</f>
        <v>845.77880420836539</v>
      </c>
      <c r="L309" s="23">
        <f>IF(Table4[[#This Row],[total_cost_inr]]&gt;0, Table4[[#This Row],[total_cost_inr]]*'Calculations &amp; Assumptions'!$C$7,IF(Table4[[#This Row],[total_cost_eur]]&gt;0,Table4[[#This Row],[total_cost_eur]]*'Calculations &amp; Assumptions'!$C$5,0))</f>
        <v>824000</v>
      </c>
      <c r="M309" s="77">
        <f>IF(H309="smartmeter_1ph",Table4[[#This Row],[total_cost_npr]],Table4[[#This Row],[total_cost_npr]]/Table4[[#This Row],[pv_kWp]])</f>
        <v>109866.66666666667</v>
      </c>
      <c r="N309" s="1">
        <v>515000</v>
      </c>
      <c r="O309" s="90">
        <f>Table4[[#This Row],[total_cost_inr]]/Table4[[#This Row],[pv_kWp]]</f>
        <v>68666.666666666672</v>
      </c>
      <c r="P309" s="1"/>
      <c r="Q309" s="3"/>
      <c r="R309" s="1"/>
      <c r="S309" s="1"/>
      <c r="T309" s="1">
        <v>7.5</v>
      </c>
      <c r="U309" s="1"/>
      <c r="V309" s="1"/>
      <c r="W309" s="1"/>
      <c r="X309" s="1"/>
      <c r="Y309" s="1"/>
      <c r="Z309" s="1"/>
      <c r="AA309" s="1"/>
      <c r="AB309" s="1"/>
      <c r="AC309" s="1"/>
      <c r="AD309" s="1"/>
      <c r="AE309" s="1"/>
      <c r="AF309" s="1"/>
      <c r="AG309" s="1"/>
      <c r="AH309" s="6"/>
      <c r="AI309" s="1">
        <v>7.5</v>
      </c>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row>
    <row r="310" spans="1:63" ht="30" thickBot="1" x14ac:dyDescent="0.25">
      <c r="A310" s="3">
        <v>310</v>
      </c>
      <c r="B310" s="3" t="s">
        <v>463</v>
      </c>
      <c r="C310" s="3" t="s">
        <v>543</v>
      </c>
      <c r="D310" s="1" t="s">
        <v>40</v>
      </c>
      <c r="E310" s="1"/>
      <c r="F310" s="1">
        <v>2022</v>
      </c>
      <c r="G310" s="1" t="s">
        <v>41</v>
      </c>
      <c r="H310" s="1" t="s">
        <v>47</v>
      </c>
      <c r="I310" s="1"/>
      <c r="J310" s="113">
        <f>Table4[[#This Row],[total_cost_npr]]*(1/'Calculations &amp; Assumptions'!$C$6)</f>
        <v>4311.0084680523478</v>
      </c>
      <c r="K310" s="113">
        <f>Table4[[#This Row],[system_cost_npr_per_kwp]]*(1/'Calculations &amp; Assumptions'!$C$6)</f>
        <v>862.20169361046953</v>
      </c>
      <c r="L310" s="23">
        <f>IF(Table4[[#This Row],[total_cost_inr]]&gt;0, Table4[[#This Row],[total_cost_inr]]*'Calculations &amp; Assumptions'!$C$7,IF(Table4[[#This Row],[total_cost_eur]]&gt;0,Table4[[#This Row],[total_cost_eur]]*'Calculations &amp; Assumptions'!$C$5,0))</f>
        <v>560000</v>
      </c>
      <c r="M310" s="77">
        <f>IF(H310="smartmeter_1ph",Table4[[#This Row],[total_cost_npr]],Table4[[#This Row],[total_cost_npr]]/Table4[[#This Row],[pv_kWp]])</f>
        <v>112000</v>
      </c>
      <c r="N310" s="1">
        <v>350000</v>
      </c>
      <c r="O310" s="90">
        <f>Table4[[#This Row],[total_cost_inr]]/Table4[[#This Row],[pv_kWp]]</f>
        <v>70000</v>
      </c>
      <c r="P310" s="1"/>
      <c r="Q310" s="3">
        <f>Table4[[#This Row],[total_cost_eur]]/Table4[[#This Row],[pv_kWp]]</f>
        <v>0</v>
      </c>
      <c r="R310" s="1"/>
      <c r="S310" s="1"/>
      <c r="T310" s="1">
        <v>5</v>
      </c>
      <c r="U310" s="1"/>
      <c r="V310" s="1"/>
      <c r="W310" s="1"/>
      <c r="X310" s="1"/>
      <c r="Y310" s="1"/>
      <c r="Z310" s="1"/>
      <c r="AA310" s="1"/>
      <c r="AB310" s="1"/>
      <c r="AC310" s="1"/>
      <c r="AD310" s="1"/>
      <c r="AE310" s="1"/>
      <c r="AF310" s="1"/>
      <c r="AG310" s="1"/>
      <c r="AH310" s="6"/>
      <c r="AI310" s="1">
        <v>5</v>
      </c>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row>
    <row r="311" spans="1:63" ht="30" thickBot="1" x14ac:dyDescent="0.25">
      <c r="A311" s="3">
        <v>311</v>
      </c>
      <c r="B311" s="3" t="s">
        <v>463</v>
      </c>
      <c r="C311" s="3" t="s">
        <v>543</v>
      </c>
      <c r="D311" s="1" t="s">
        <v>40</v>
      </c>
      <c r="E311" s="1"/>
      <c r="F311" s="1">
        <v>2022</v>
      </c>
      <c r="G311" s="1" t="s">
        <v>41</v>
      </c>
      <c r="H311" s="1" t="s">
        <v>47</v>
      </c>
      <c r="I311" s="1"/>
      <c r="J311" s="113">
        <f>Table4[[#This Row],[total_cost_npr]]*(1/'Calculations &amp; Assumptions'!$C$6)</f>
        <v>3079.2917628945338</v>
      </c>
      <c r="K311" s="113">
        <f>Table4[[#This Row],[system_cost_npr_per_kwp]]*(1/'Calculations &amp; Assumptions'!$C$6)</f>
        <v>1026.4305876315113</v>
      </c>
      <c r="L311" s="23">
        <f>IF(Table4[[#This Row],[total_cost_inr]]&gt;0, Table4[[#This Row],[total_cost_inr]]*'Calculations &amp; Assumptions'!$C$7,IF(Table4[[#This Row],[total_cost_eur]]&gt;0,Table4[[#This Row],[total_cost_eur]]*'Calculations &amp; Assumptions'!$C$5,0))</f>
        <v>400000</v>
      </c>
      <c r="M311" s="77">
        <f>IF(H311="smartmeter_1ph",Table4[[#This Row],[total_cost_npr]],Table4[[#This Row],[total_cost_npr]]/Table4[[#This Row],[pv_kWp]])</f>
        <v>133333.33333333334</v>
      </c>
      <c r="N311" s="1">
        <v>250000</v>
      </c>
      <c r="O311" s="90">
        <f>Table4[[#This Row],[total_cost_inr]]/Table4[[#This Row],[pv_kWp]]</f>
        <v>83333.333333333328</v>
      </c>
      <c r="P311" s="1"/>
      <c r="Q311" s="3">
        <f>Table4[[#This Row],[total_cost_eur]]/Table4[[#This Row],[pv_kWp]]</f>
        <v>0</v>
      </c>
      <c r="R311" s="1"/>
      <c r="S311" s="1"/>
      <c r="T311" s="1">
        <v>3</v>
      </c>
      <c r="U311" s="1"/>
      <c r="V311" s="1"/>
      <c r="W311" s="1"/>
      <c r="X311" s="1"/>
      <c r="Y311" s="1"/>
      <c r="Z311" s="1"/>
      <c r="AA311" s="1"/>
      <c r="AB311" s="1"/>
      <c r="AC311" s="1"/>
      <c r="AD311" s="1"/>
      <c r="AE311" s="1"/>
      <c r="AF311" s="1"/>
      <c r="AG311" s="1"/>
      <c r="AH311" s="6"/>
      <c r="AI311" s="1">
        <v>3</v>
      </c>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row>
    <row r="312" spans="1:63" ht="30" thickBot="1" x14ac:dyDescent="0.25">
      <c r="A312" s="3">
        <v>312</v>
      </c>
      <c r="B312" s="3" t="s">
        <v>463</v>
      </c>
      <c r="C312" s="3" t="s">
        <v>543</v>
      </c>
      <c r="D312" s="1" t="s">
        <v>40</v>
      </c>
      <c r="E312" s="1"/>
      <c r="F312" s="1">
        <v>2022</v>
      </c>
      <c r="G312" s="1" t="s">
        <v>41</v>
      </c>
      <c r="H312" s="1" t="s">
        <v>47</v>
      </c>
      <c r="I312" s="1"/>
      <c r="J312" s="113">
        <f>Table4[[#This Row],[total_cost_npr]]*(1/'Calculations &amp; Assumptions'!$C$6)</f>
        <v>2254.0415704387988</v>
      </c>
      <c r="K312" s="113">
        <f>Table4[[#This Row],[system_cost_npr_per_kwp]]*(1/'Calculations &amp; Assumptions'!$C$6)</f>
        <v>1127.0207852193994</v>
      </c>
      <c r="L312" s="23">
        <f>IF(Table4[[#This Row],[total_cost_inr]]&gt;0, Table4[[#This Row],[total_cost_inr]]*'Calculations &amp; Assumptions'!$C$7,IF(Table4[[#This Row],[total_cost_eur]]&gt;0,Table4[[#This Row],[total_cost_eur]]*'Calculations &amp; Assumptions'!$C$5,0))</f>
        <v>292800</v>
      </c>
      <c r="M312" s="77">
        <f>IF(H312="smartmeter_1ph",Table4[[#This Row],[total_cost_npr]],Table4[[#This Row],[total_cost_npr]]/Table4[[#This Row],[pv_kWp]])</f>
        <v>146400</v>
      </c>
      <c r="N312" s="1">
        <v>183000</v>
      </c>
      <c r="O312" s="90">
        <f>Table4[[#This Row],[total_cost_inr]]/Table4[[#This Row],[pv_kWp]]</f>
        <v>91500</v>
      </c>
      <c r="P312" s="1"/>
      <c r="Q312" s="3">
        <f>Table4[[#This Row],[total_cost_eur]]/Table4[[#This Row],[pv_kWp]]</f>
        <v>0</v>
      </c>
      <c r="R312" s="1"/>
      <c r="S312" s="1"/>
      <c r="T312" s="1">
        <v>2</v>
      </c>
      <c r="U312" s="1"/>
      <c r="V312" s="1"/>
      <c r="W312" s="1"/>
      <c r="X312" s="1"/>
      <c r="Y312" s="1"/>
      <c r="Z312" s="1"/>
      <c r="AA312" s="1"/>
      <c r="AB312" s="1"/>
      <c r="AC312" s="1"/>
      <c r="AD312" s="1"/>
      <c r="AE312" s="1"/>
      <c r="AF312" s="1"/>
      <c r="AG312" s="1"/>
      <c r="AH312" s="6"/>
      <c r="AI312" s="1">
        <v>2</v>
      </c>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row>
    <row r="313" spans="1:63" ht="16" thickBot="1" x14ac:dyDescent="0.25">
      <c r="A313" s="3">
        <v>313</v>
      </c>
      <c r="B313" s="3" t="s">
        <v>464</v>
      </c>
      <c r="C313" s="3" t="s">
        <v>543</v>
      </c>
      <c r="D313" s="1"/>
      <c r="E313" s="1"/>
      <c r="F313" s="1">
        <v>2022</v>
      </c>
      <c r="G313" s="1" t="s">
        <v>51</v>
      </c>
      <c r="H313" s="1" t="s">
        <v>52</v>
      </c>
      <c r="I313" s="1" t="s">
        <v>465</v>
      </c>
      <c r="J313" s="113">
        <f>Table4[[#This Row],[total_cost_npr]]*(1/'Calculations &amp; Assumptions'!$C$6)</f>
        <v>43.033102386451112</v>
      </c>
      <c r="K313" s="113">
        <f>Table4[[#This Row],[system_cost_npr_per_kwp]]*(1/'Calculations &amp; Assumptions'!$C$6)</f>
        <v>43.033102386451112</v>
      </c>
      <c r="L313" s="23">
        <f>IF(Table4[[#This Row],[total_cost_inr]]&gt;0, Table4[[#This Row],[total_cost_inr]]*'Calculations &amp; Assumptions'!$C$7,IF(Table4[[#This Row],[total_cost_eur]]&gt;0,Table4[[#This Row],[total_cost_eur]]*'Calculations &amp; Assumptions'!$C$5,0))</f>
        <v>5590</v>
      </c>
      <c r="M313" s="77">
        <f>IF(H313="smartmeter_1ph",Table4[[#This Row],[total_cost_npr]],Table4[[#This Row],[total_cost_npr]]/Table4[[#This Row],[pv_kWp]])</f>
        <v>5590</v>
      </c>
      <c r="N313" s="1"/>
      <c r="O313" s="90"/>
      <c r="P313" s="1">
        <v>43</v>
      </c>
      <c r="Q313" s="3"/>
      <c r="R313" s="1"/>
      <c r="S313" s="1"/>
      <c r="T313" s="1"/>
      <c r="U313" s="1"/>
      <c r="V313" s="1"/>
      <c r="W313" s="1"/>
      <c r="X313" s="1"/>
      <c r="Y313" s="1"/>
      <c r="Z313" s="1"/>
      <c r="AA313" s="1"/>
      <c r="AB313" s="1"/>
      <c r="AC313" s="1"/>
      <c r="AD313" s="1"/>
      <c r="AE313" s="1"/>
      <c r="AF313" s="1"/>
      <c r="AG313" s="1"/>
      <c r="AH313" s="6"/>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row>
    <row r="314" spans="1:63" ht="16" thickBot="1" x14ac:dyDescent="0.25">
      <c r="A314" s="3">
        <v>314</v>
      </c>
      <c r="B314" s="3" t="s">
        <v>464</v>
      </c>
      <c r="C314" s="3" t="s">
        <v>543</v>
      </c>
      <c r="D314" s="1"/>
      <c r="E314" s="1"/>
      <c r="F314" s="1"/>
      <c r="G314" s="1" t="s">
        <v>51</v>
      </c>
      <c r="H314" s="1" t="s">
        <v>52</v>
      </c>
      <c r="I314" s="1" t="s">
        <v>466</v>
      </c>
      <c r="J314" s="113">
        <f>Table4[[#This Row],[total_cost_npr]]*(1/'Calculations &amp; Assumptions'!$C$6)</f>
        <v>54.04157043879907</v>
      </c>
      <c r="K314" s="113">
        <f>Table4[[#This Row],[system_cost_npr_per_kwp]]*(1/'Calculations &amp; Assumptions'!$C$6)</f>
        <v>54.04157043879907</v>
      </c>
      <c r="L314" s="23">
        <f>IF(Table4[[#This Row],[total_cost_inr]]&gt;0, Table4[[#This Row],[total_cost_inr]]*'Calculations &amp; Assumptions'!$C$7,IF(Table4[[#This Row],[total_cost_eur]]&gt;0,Table4[[#This Row],[total_cost_eur]]*'Calculations &amp; Assumptions'!$C$5,0))</f>
        <v>7020</v>
      </c>
      <c r="M314" s="77">
        <f>IF(H314="smartmeter_1ph",Table4[[#This Row],[total_cost_npr]],Table4[[#This Row],[total_cost_npr]]/Table4[[#This Row],[pv_kWp]])</f>
        <v>7020</v>
      </c>
      <c r="N314" s="1"/>
      <c r="O314" s="90"/>
      <c r="P314" s="1">
        <v>54</v>
      </c>
      <c r="Q314" s="3"/>
      <c r="R314" s="1"/>
      <c r="S314" s="1"/>
      <c r="T314" s="1"/>
      <c r="U314" s="1"/>
      <c r="V314" s="1"/>
      <c r="W314" s="1"/>
      <c r="X314" s="1"/>
      <c r="Y314" s="1"/>
      <c r="Z314" s="1"/>
      <c r="AA314" s="1"/>
      <c r="AB314" s="1"/>
      <c r="AC314" s="1"/>
      <c r="AD314" s="1"/>
      <c r="AE314" s="1"/>
      <c r="AF314" s="1"/>
      <c r="AG314" s="1"/>
      <c r="AH314" s="6"/>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row>
    <row r="315" spans="1:63" ht="16" thickBot="1" x14ac:dyDescent="0.25">
      <c r="A315" s="3">
        <v>315</v>
      </c>
      <c r="B315" s="3" t="s">
        <v>464</v>
      </c>
      <c r="C315" s="3" t="s">
        <v>543</v>
      </c>
      <c r="D315" s="1"/>
      <c r="E315" s="1"/>
      <c r="F315" s="1"/>
      <c r="G315" s="1" t="s">
        <v>51</v>
      </c>
      <c r="H315" s="1" t="s">
        <v>52</v>
      </c>
      <c r="I315" s="1" t="s">
        <v>467</v>
      </c>
      <c r="J315" s="113">
        <f>Table4[[#This Row],[total_cost_npr]]*(1/'Calculations &amp; Assumptions'!$C$6)</f>
        <v>56.043110084680521</v>
      </c>
      <c r="K315" s="113">
        <f>Table4[[#This Row],[system_cost_npr_per_kwp]]*(1/'Calculations &amp; Assumptions'!$C$6)</f>
        <v>56.043110084680521</v>
      </c>
      <c r="L315" s="23">
        <f>IF(Table4[[#This Row],[total_cost_inr]]&gt;0, Table4[[#This Row],[total_cost_inr]]*'Calculations &amp; Assumptions'!$C$7,IF(Table4[[#This Row],[total_cost_eur]]&gt;0,Table4[[#This Row],[total_cost_eur]]*'Calculations &amp; Assumptions'!$C$5,0))</f>
        <v>7280</v>
      </c>
      <c r="M315" s="77">
        <f>IF(H315="smartmeter_1ph",Table4[[#This Row],[total_cost_npr]],Table4[[#This Row],[total_cost_npr]]/Table4[[#This Row],[pv_kWp]])</f>
        <v>7280</v>
      </c>
      <c r="N315" s="1"/>
      <c r="O315" s="90"/>
      <c r="P315" s="1">
        <v>56</v>
      </c>
      <c r="Q315" s="3"/>
      <c r="R315" s="1"/>
      <c r="S315" s="1"/>
      <c r="T315" s="1"/>
      <c r="U315" s="1"/>
      <c r="V315" s="1"/>
      <c r="W315" s="1"/>
      <c r="X315" s="1"/>
      <c r="Y315" s="1"/>
      <c r="Z315" s="1"/>
      <c r="AA315" s="1"/>
      <c r="AB315" s="1"/>
      <c r="AC315" s="1"/>
      <c r="AD315" s="1"/>
      <c r="AE315" s="1"/>
      <c r="AF315" s="1"/>
      <c r="AG315" s="1"/>
      <c r="AH315" s="6"/>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row>
    <row r="316" spans="1:63" ht="16" thickBot="1" x14ac:dyDescent="0.25">
      <c r="A316" s="3">
        <v>316</v>
      </c>
      <c r="B316" s="3" t="s">
        <v>464</v>
      </c>
      <c r="C316" s="3" t="s">
        <v>543</v>
      </c>
      <c r="D316" s="1"/>
      <c r="E316" s="1"/>
      <c r="F316" s="1"/>
      <c r="G316" s="1" t="s">
        <v>51</v>
      </c>
      <c r="H316" s="1" t="s">
        <v>52</v>
      </c>
      <c r="I316" s="1" t="s">
        <v>466</v>
      </c>
      <c r="J316" s="113">
        <f>Table4[[#This Row],[total_cost_npr]]*(1/'Calculations &amp; Assumptions'!$C$6)</f>
        <v>64.049268668206309</v>
      </c>
      <c r="K316" s="113">
        <f>Table4[[#This Row],[system_cost_npr_per_kwp]]*(1/'Calculations &amp; Assumptions'!$C$6)</f>
        <v>64.049268668206309</v>
      </c>
      <c r="L316" s="23">
        <f>IF(Table4[[#This Row],[total_cost_inr]]&gt;0, Table4[[#This Row],[total_cost_inr]]*'Calculations &amp; Assumptions'!$C$7,IF(Table4[[#This Row],[total_cost_eur]]&gt;0,Table4[[#This Row],[total_cost_eur]]*'Calculations &amp; Assumptions'!$C$5,0))</f>
        <v>8320</v>
      </c>
      <c r="M316" s="77">
        <f>IF(H316="smartmeter_1ph",Table4[[#This Row],[total_cost_npr]],Table4[[#This Row],[total_cost_npr]]/Table4[[#This Row],[pv_kWp]])</f>
        <v>8320</v>
      </c>
      <c r="N316" s="1"/>
      <c r="O316" s="90"/>
      <c r="P316" s="1">
        <v>64</v>
      </c>
      <c r="Q316" s="3"/>
      <c r="R316" s="1"/>
      <c r="S316" s="1"/>
      <c r="T316" s="1"/>
      <c r="U316" s="1"/>
      <c r="V316" s="1"/>
      <c r="W316" s="1"/>
      <c r="X316" s="1"/>
      <c r="Y316" s="1"/>
      <c r="Z316" s="1"/>
      <c r="AA316" s="1"/>
      <c r="AB316" s="1"/>
      <c r="AC316" s="1"/>
      <c r="AD316" s="1"/>
      <c r="AE316" s="1"/>
      <c r="AF316" s="1"/>
      <c r="AG316" s="1"/>
      <c r="AH316" s="6"/>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row>
    <row r="317" spans="1:63" ht="16" thickBot="1" x14ac:dyDescent="0.25">
      <c r="A317" s="3">
        <v>317</v>
      </c>
      <c r="B317" s="3" t="s">
        <v>464</v>
      </c>
      <c r="C317" s="3" t="s">
        <v>543</v>
      </c>
      <c r="D317" s="1"/>
      <c r="E317" s="1"/>
      <c r="F317" s="1"/>
      <c r="G317" s="1" t="s">
        <v>51</v>
      </c>
      <c r="H317" s="1" t="s">
        <v>52</v>
      </c>
      <c r="I317" s="1" t="s">
        <v>468</v>
      </c>
      <c r="J317" s="113">
        <f>Table4[[#This Row],[total_cost_npr]]*(1/'Calculations &amp; Assumptions'!$C$6)</f>
        <v>59.04541955350269</v>
      </c>
      <c r="K317" s="113">
        <f>Table4[[#This Row],[system_cost_npr_per_kwp]]*(1/'Calculations &amp; Assumptions'!$C$6)</f>
        <v>59.04541955350269</v>
      </c>
      <c r="L317" s="23">
        <f>IF(Table4[[#This Row],[total_cost_inr]]&gt;0, Table4[[#This Row],[total_cost_inr]]*'Calculations &amp; Assumptions'!$C$7,IF(Table4[[#This Row],[total_cost_eur]]&gt;0,Table4[[#This Row],[total_cost_eur]]*'Calculations &amp; Assumptions'!$C$5,0))</f>
        <v>7670</v>
      </c>
      <c r="M317" s="77">
        <f>IF(H317="smartmeter_1ph",Table4[[#This Row],[total_cost_npr]],Table4[[#This Row],[total_cost_npr]]/Table4[[#This Row],[pv_kWp]])</f>
        <v>7670</v>
      </c>
      <c r="N317" s="1"/>
      <c r="O317" s="90"/>
      <c r="P317" s="1">
        <v>59</v>
      </c>
      <c r="Q317" s="3"/>
      <c r="R317" s="1"/>
      <c r="S317" s="1"/>
      <c r="T317" s="1"/>
      <c r="U317" s="1"/>
      <c r="V317" s="1"/>
      <c r="W317" s="1"/>
      <c r="X317" s="1"/>
      <c r="Y317" s="1"/>
      <c r="Z317" s="1"/>
      <c r="AA317" s="1"/>
      <c r="AB317" s="1"/>
      <c r="AC317" s="1"/>
      <c r="AD317" s="1"/>
      <c r="AE317" s="1"/>
      <c r="AF317" s="1"/>
      <c r="AG317" s="1"/>
      <c r="AH317" s="6"/>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row>
    <row r="318" spans="1:63" ht="16" thickBot="1" x14ac:dyDescent="0.25">
      <c r="A318" s="3">
        <v>318</v>
      </c>
      <c r="B318" s="3" t="s">
        <v>464</v>
      </c>
      <c r="C318" s="3" t="s">
        <v>543</v>
      </c>
      <c r="D318" s="1"/>
      <c r="E318" s="1"/>
      <c r="F318" s="1"/>
      <c r="G318" s="1" t="s">
        <v>51</v>
      </c>
      <c r="H318" s="1" t="s">
        <v>52</v>
      </c>
      <c r="I318" s="1" t="s">
        <v>469</v>
      </c>
      <c r="J318" s="113">
        <f>Table4[[#This Row],[total_cost_npr]]*(1/'Calculations &amp; Assumptions'!$C$6)</f>
        <v>46.035411855273281</v>
      </c>
      <c r="K318" s="113">
        <f>Table4[[#This Row],[system_cost_npr_per_kwp]]*(1/'Calculations &amp; Assumptions'!$C$6)</f>
        <v>46.035411855273281</v>
      </c>
      <c r="L318" s="23">
        <f>IF(Table4[[#This Row],[total_cost_inr]]&gt;0, Table4[[#This Row],[total_cost_inr]]*'Calculations &amp; Assumptions'!$C$7,IF(Table4[[#This Row],[total_cost_eur]]&gt;0,Table4[[#This Row],[total_cost_eur]]*'Calculations &amp; Assumptions'!$C$5,0))</f>
        <v>5980</v>
      </c>
      <c r="M318" s="77">
        <f>IF(H318="smartmeter_1ph",Table4[[#This Row],[total_cost_npr]],Table4[[#This Row],[total_cost_npr]]/Table4[[#This Row],[pv_kWp]])</f>
        <v>5980</v>
      </c>
      <c r="N318" s="1"/>
      <c r="O318" s="90"/>
      <c r="P318" s="1">
        <v>46</v>
      </c>
      <c r="Q318" s="3"/>
      <c r="R318" s="1"/>
      <c r="S318" s="1"/>
      <c r="T318" s="1"/>
      <c r="U318" s="1"/>
      <c r="V318" s="1"/>
      <c r="W318" s="1"/>
      <c r="X318" s="1"/>
      <c r="Y318" s="1"/>
      <c r="Z318" s="1"/>
      <c r="AA318" s="1"/>
      <c r="AB318" s="1"/>
      <c r="AC318" s="1"/>
      <c r="AD318" s="1"/>
      <c r="AE318" s="1"/>
      <c r="AF318" s="1"/>
      <c r="AG318" s="1"/>
      <c r="AH318" s="6"/>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row>
    <row r="319" spans="1:63" ht="16" thickBot="1" x14ac:dyDescent="0.25">
      <c r="A319" s="3">
        <v>319</v>
      </c>
      <c r="B319" s="3" t="s">
        <v>464</v>
      </c>
      <c r="C319" s="3" t="s">
        <v>543</v>
      </c>
      <c r="D319" s="1"/>
      <c r="E319" s="1"/>
      <c r="F319" s="1"/>
      <c r="G319" s="1" t="s">
        <v>51</v>
      </c>
      <c r="H319" s="1" t="s">
        <v>52</v>
      </c>
      <c r="I319" s="1" t="s">
        <v>470</v>
      </c>
      <c r="J319" s="113">
        <f>Table4[[#This Row],[total_cost_npr]]*(1/'Calculations &amp; Assumptions'!$C$6)</f>
        <v>52.040030792917626</v>
      </c>
      <c r="K319" s="113">
        <f>Table4[[#This Row],[system_cost_npr_per_kwp]]*(1/'Calculations &amp; Assumptions'!$C$6)</f>
        <v>52.040030792917626</v>
      </c>
      <c r="L319" s="23">
        <f>IF(Table4[[#This Row],[total_cost_inr]]&gt;0, Table4[[#This Row],[total_cost_inr]]*'Calculations &amp; Assumptions'!$C$7,IF(Table4[[#This Row],[total_cost_eur]]&gt;0,Table4[[#This Row],[total_cost_eur]]*'Calculations &amp; Assumptions'!$C$5,0))</f>
        <v>6760</v>
      </c>
      <c r="M319" s="77">
        <f>IF(H319="smartmeter_1ph",Table4[[#This Row],[total_cost_npr]],Table4[[#This Row],[total_cost_npr]]/Table4[[#This Row],[pv_kWp]])</f>
        <v>6760</v>
      </c>
      <c r="N319" s="1"/>
      <c r="O319" s="90"/>
      <c r="P319" s="1">
        <v>52</v>
      </c>
      <c r="Q319" s="3"/>
      <c r="R319" s="1"/>
      <c r="S319" s="1"/>
      <c r="T319" s="1"/>
      <c r="U319" s="1"/>
      <c r="V319" s="1"/>
      <c r="W319" s="1"/>
      <c r="X319" s="1"/>
      <c r="Y319" s="1"/>
      <c r="Z319" s="1"/>
      <c r="AA319" s="1"/>
      <c r="AB319" s="1"/>
      <c r="AC319" s="1"/>
      <c r="AD319" s="1"/>
      <c r="AE319" s="1"/>
      <c r="AF319" s="1"/>
      <c r="AG319" s="1"/>
      <c r="AH319" s="6"/>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row>
    <row r="320" spans="1:63" ht="16" thickBot="1" x14ac:dyDescent="0.25">
      <c r="A320" s="3">
        <v>320</v>
      </c>
      <c r="B320" s="3" t="s">
        <v>464</v>
      </c>
      <c r="C320" s="3" t="s">
        <v>543</v>
      </c>
      <c r="D320" s="1"/>
      <c r="E320" s="1"/>
      <c r="F320" s="1"/>
      <c r="G320" s="1" t="s">
        <v>51</v>
      </c>
      <c r="H320" s="1" t="s">
        <v>52</v>
      </c>
      <c r="I320" s="1" t="s">
        <v>471</v>
      </c>
      <c r="J320" s="113">
        <f>Table4[[#This Row],[total_cost_npr]]*(1/'Calculations &amp; Assumptions'!$C$6)</f>
        <v>50.038491147036176</v>
      </c>
      <c r="K320" s="113">
        <f>Table4[[#This Row],[system_cost_npr_per_kwp]]*(1/'Calculations &amp; Assumptions'!$C$6)</f>
        <v>50.038491147036176</v>
      </c>
      <c r="L320" s="23">
        <f>IF(Table4[[#This Row],[total_cost_inr]]&gt;0, Table4[[#This Row],[total_cost_inr]]*'Calculations &amp; Assumptions'!$C$7,IF(Table4[[#This Row],[total_cost_eur]]&gt;0,Table4[[#This Row],[total_cost_eur]]*'Calculations &amp; Assumptions'!$C$5,0))</f>
        <v>6500</v>
      </c>
      <c r="M320" s="77">
        <f>IF(H320="smartmeter_1ph",Table4[[#This Row],[total_cost_npr]],Table4[[#This Row],[total_cost_npr]]/Table4[[#This Row],[pv_kWp]])</f>
        <v>6500</v>
      </c>
      <c r="N320" s="1"/>
      <c r="O320" s="90"/>
      <c r="P320" s="1">
        <v>50</v>
      </c>
      <c r="Q320" s="3"/>
      <c r="R320" s="1"/>
      <c r="S320" s="1"/>
      <c r="T320" s="1"/>
      <c r="U320" s="1"/>
      <c r="V320" s="1"/>
      <c r="W320" s="1"/>
      <c r="X320" s="1"/>
      <c r="Y320" s="1"/>
      <c r="Z320" s="1"/>
      <c r="AA320" s="1"/>
      <c r="AB320" s="1"/>
      <c r="AC320" s="1"/>
      <c r="AD320" s="1"/>
      <c r="AE320" s="1"/>
      <c r="AF320" s="1"/>
      <c r="AG320" s="1"/>
      <c r="AH320" s="6"/>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row>
    <row r="321" spans="1:63" ht="16" thickBot="1" x14ac:dyDescent="0.25">
      <c r="A321" s="3">
        <v>321</v>
      </c>
      <c r="B321" s="3" t="s">
        <v>464</v>
      </c>
      <c r="C321" s="3" t="s">
        <v>543</v>
      </c>
      <c r="D321" s="1"/>
      <c r="E321" s="1"/>
      <c r="F321" s="1"/>
      <c r="G321" s="1" t="s">
        <v>51</v>
      </c>
      <c r="H321" s="1" t="s">
        <v>52</v>
      </c>
      <c r="I321" s="1" t="s">
        <v>472</v>
      </c>
      <c r="J321" s="113">
        <f>Table4[[#This Row],[total_cost_npr]]*(1/'Calculations &amp; Assumptions'!$C$6)</f>
        <v>48.036951501154732</v>
      </c>
      <c r="K321" s="113">
        <f>Table4[[#This Row],[system_cost_npr_per_kwp]]*(1/'Calculations &amp; Assumptions'!$C$6)</f>
        <v>48.036951501154732</v>
      </c>
      <c r="L321" s="23">
        <f>IF(Table4[[#This Row],[total_cost_inr]]&gt;0, Table4[[#This Row],[total_cost_inr]]*'Calculations &amp; Assumptions'!$C$7,IF(Table4[[#This Row],[total_cost_eur]]&gt;0,Table4[[#This Row],[total_cost_eur]]*'Calculations &amp; Assumptions'!$C$5,0))</f>
        <v>6240</v>
      </c>
      <c r="M321" s="77">
        <f>IF(H321="smartmeter_1ph",Table4[[#This Row],[total_cost_npr]],Table4[[#This Row],[total_cost_npr]]/Table4[[#This Row],[pv_kWp]])</f>
        <v>6240</v>
      </c>
      <c r="N321" s="1"/>
      <c r="O321" s="90"/>
      <c r="P321" s="1">
        <v>48</v>
      </c>
      <c r="Q321" s="3"/>
      <c r="R321" s="1"/>
      <c r="S321" s="1"/>
      <c r="T321" s="1"/>
      <c r="U321" s="1"/>
      <c r="V321" s="1"/>
      <c r="W321" s="1"/>
      <c r="X321" s="1"/>
      <c r="Y321" s="1"/>
      <c r="Z321" s="1"/>
      <c r="AA321" s="1"/>
      <c r="AB321" s="1"/>
      <c r="AC321" s="1"/>
      <c r="AD321" s="1"/>
      <c r="AE321" s="1"/>
      <c r="AF321" s="1"/>
      <c r="AG321" s="1"/>
      <c r="AH321" s="6"/>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row>
    <row r="322" spans="1:63" ht="16" thickBot="1" x14ac:dyDescent="0.25">
      <c r="A322" s="3">
        <v>322</v>
      </c>
      <c r="B322" s="3" t="s">
        <v>464</v>
      </c>
      <c r="C322" s="3" t="s">
        <v>543</v>
      </c>
      <c r="D322" s="1"/>
      <c r="E322" s="1"/>
      <c r="F322" s="1"/>
      <c r="G322" s="1" t="s">
        <v>51</v>
      </c>
      <c r="H322" s="1" t="s">
        <v>52</v>
      </c>
      <c r="I322" s="1" t="s">
        <v>473</v>
      </c>
      <c r="J322" s="113">
        <f>Table4[[#This Row],[total_cost_npr]]*(1/'Calculations &amp; Assumptions'!$C$6)</f>
        <v>55.042340261739795</v>
      </c>
      <c r="K322" s="113">
        <f>Table4[[#This Row],[system_cost_npr_per_kwp]]*(1/'Calculations &amp; Assumptions'!$C$6)</f>
        <v>55.042340261739795</v>
      </c>
      <c r="L322" s="23">
        <f>IF(Table4[[#This Row],[total_cost_inr]]&gt;0, Table4[[#This Row],[total_cost_inr]]*'Calculations &amp; Assumptions'!$C$7,IF(Table4[[#This Row],[total_cost_eur]]&gt;0,Table4[[#This Row],[total_cost_eur]]*'Calculations &amp; Assumptions'!$C$5,0))</f>
        <v>7150</v>
      </c>
      <c r="M322" s="77">
        <f>IF(H322="smartmeter_1ph",Table4[[#This Row],[total_cost_npr]],Table4[[#This Row],[total_cost_npr]]/Table4[[#This Row],[pv_kWp]])</f>
        <v>7150</v>
      </c>
      <c r="N322" s="1"/>
      <c r="O322" s="90"/>
      <c r="P322" s="1">
        <v>55</v>
      </c>
      <c r="Q322" s="3"/>
      <c r="R322" s="1"/>
      <c r="S322" s="1"/>
      <c r="T322" s="1"/>
      <c r="U322" s="1"/>
      <c r="V322" s="1"/>
      <c r="W322" s="1"/>
      <c r="X322" s="1"/>
      <c r="Y322" s="1"/>
      <c r="Z322" s="1"/>
      <c r="AA322" s="1"/>
      <c r="AB322" s="1"/>
      <c r="AC322" s="1"/>
      <c r="AD322" s="1"/>
      <c r="AE322" s="1"/>
      <c r="AF322" s="1"/>
      <c r="AG322" s="1"/>
      <c r="AH322" s="6"/>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row>
    <row r="323" spans="1:63" ht="16" thickBot="1" x14ac:dyDescent="0.25">
      <c r="A323" s="3">
        <v>323</v>
      </c>
      <c r="B323" s="3" t="s">
        <v>464</v>
      </c>
      <c r="C323" s="3" t="s">
        <v>543</v>
      </c>
      <c r="D323" s="1"/>
      <c r="E323" s="1"/>
      <c r="F323" s="1"/>
      <c r="G323" s="1" t="s">
        <v>51</v>
      </c>
      <c r="H323" s="1" t="s">
        <v>52</v>
      </c>
      <c r="I323" s="1" t="s">
        <v>469</v>
      </c>
      <c r="J323" s="113">
        <f>Table4[[#This Row],[total_cost_npr]]*(1/'Calculations &amp; Assumptions'!$C$6)</f>
        <v>46.035411855273281</v>
      </c>
      <c r="K323" s="113">
        <f>Table4[[#This Row],[system_cost_npr_per_kwp]]*(1/'Calculations &amp; Assumptions'!$C$6)</f>
        <v>46.035411855273281</v>
      </c>
      <c r="L323" s="23">
        <f>IF(Table4[[#This Row],[total_cost_inr]]&gt;0, Table4[[#This Row],[total_cost_inr]]*'Calculations &amp; Assumptions'!$C$7,IF(Table4[[#This Row],[total_cost_eur]]&gt;0,Table4[[#This Row],[total_cost_eur]]*'Calculations &amp; Assumptions'!$C$5,0))</f>
        <v>5980</v>
      </c>
      <c r="M323" s="77">
        <f>IF(H323="smartmeter_1ph",Table4[[#This Row],[total_cost_npr]],Table4[[#This Row],[total_cost_npr]]/Table4[[#This Row],[pv_kWp]])</f>
        <v>5980</v>
      </c>
      <c r="N323" s="1"/>
      <c r="O323" s="90"/>
      <c r="P323" s="1">
        <v>46</v>
      </c>
      <c r="Q323" s="3"/>
      <c r="R323" s="1"/>
      <c r="S323" s="1"/>
      <c r="T323" s="1"/>
      <c r="U323" s="1"/>
      <c r="V323" s="1"/>
      <c r="W323" s="1"/>
      <c r="X323" s="1"/>
      <c r="Y323" s="1"/>
      <c r="Z323" s="1"/>
      <c r="AA323" s="1"/>
      <c r="AB323" s="1"/>
      <c r="AC323" s="1"/>
      <c r="AD323" s="1"/>
      <c r="AE323" s="1"/>
      <c r="AF323" s="1"/>
      <c r="AG323" s="1"/>
      <c r="AH323" s="6"/>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row>
    <row r="324" spans="1:63" ht="16" thickBot="1" x14ac:dyDescent="0.25">
      <c r="A324" s="3">
        <v>324</v>
      </c>
      <c r="B324" s="3" t="s">
        <v>464</v>
      </c>
      <c r="C324" s="3" t="s">
        <v>543</v>
      </c>
      <c r="D324" s="1"/>
      <c r="E324" s="1"/>
      <c r="F324" s="1"/>
      <c r="G324" s="1" t="s">
        <v>51</v>
      </c>
      <c r="H324" s="1" t="s">
        <v>52</v>
      </c>
      <c r="I324" s="1" t="s">
        <v>474</v>
      </c>
      <c r="J324" s="113">
        <f>Table4[[#This Row],[total_cost_npr]]*(1/'Calculations &amp; Assumptions'!$C$6)</f>
        <v>71.054657428791373</v>
      </c>
      <c r="K324" s="113">
        <f>Table4[[#This Row],[system_cost_npr_per_kwp]]*(1/'Calculations &amp; Assumptions'!$C$6)</f>
        <v>71.054657428791373</v>
      </c>
      <c r="L324" s="23">
        <f>IF(Table4[[#This Row],[total_cost_inr]]&gt;0, Table4[[#This Row],[total_cost_inr]]*'Calculations &amp; Assumptions'!$C$7,IF(Table4[[#This Row],[total_cost_eur]]&gt;0,Table4[[#This Row],[total_cost_eur]]*'Calculations &amp; Assumptions'!$C$5,0))</f>
        <v>9230</v>
      </c>
      <c r="M324" s="77">
        <f>IF(H324="smartmeter_1ph",Table4[[#This Row],[total_cost_npr]],Table4[[#This Row],[total_cost_npr]]/Table4[[#This Row],[pv_kWp]])</f>
        <v>9230</v>
      </c>
      <c r="N324" s="1"/>
      <c r="O324" s="90"/>
      <c r="P324" s="1">
        <v>71</v>
      </c>
      <c r="Q324" s="3"/>
      <c r="R324" s="1"/>
      <c r="S324" s="1"/>
      <c r="T324" s="1"/>
      <c r="U324" s="1"/>
      <c r="V324" s="1"/>
      <c r="W324" s="1"/>
      <c r="X324" s="1"/>
      <c r="Y324" s="1"/>
      <c r="Z324" s="1"/>
      <c r="AA324" s="1"/>
      <c r="AB324" s="1"/>
      <c r="AC324" s="1"/>
      <c r="AD324" s="1"/>
      <c r="AE324" s="1"/>
      <c r="AF324" s="1"/>
      <c r="AG324" s="1"/>
      <c r="AH324" s="6"/>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row>
    <row r="325" spans="1:63" ht="16" thickBot="1" x14ac:dyDescent="0.25">
      <c r="A325" s="3">
        <v>325</v>
      </c>
      <c r="B325" s="3" t="s">
        <v>464</v>
      </c>
      <c r="C325" s="3" t="s">
        <v>543</v>
      </c>
      <c r="D325" s="1"/>
      <c r="E325" s="1"/>
      <c r="F325" s="1"/>
      <c r="G325" s="1" t="s">
        <v>51</v>
      </c>
      <c r="H325" s="1" t="s">
        <v>52</v>
      </c>
      <c r="I325" s="1" t="s">
        <v>475</v>
      </c>
      <c r="J325" s="113">
        <f>Table4[[#This Row],[total_cost_npr]]*(1/'Calculations &amp; Assumptions'!$C$6)</f>
        <v>50.038491147036176</v>
      </c>
      <c r="K325" s="113">
        <f>Table4[[#This Row],[system_cost_npr_per_kwp]]*(1/'Calculations &amp; Assumptions'!$C$6)</f>
        <v>50.038491147036176</v>
      </c>
      <c r="L325" s="23">
        <f>IF(Table4[[#This Row],[total_cost_inr]]&gt;0, Table4[[#This Row],[total_cost_inr]]*'Calculations &amp; Assumptions'!$C$7,IF(Table4[[#This Row],[total_cost_eur]]&gt;0,Table4[[#This Row],[total_cost_eur]]*'Calculations &amp; Assumptions'!$C$5,0))</f>
        <v>6500</v>
      </c>
      <c r="M325" s="77">
        <f>IF(H325="smartmeter_1ph",Table4[[#This Row],[total_cost_npr]],Table4[[#This Row],[total_cost_npr]]/Table4[[#This Row],[pv_kWp]])</f>
        <v>6500</v>
      </c>
      <c r="N325" s="1"/>
      <c r="O325" s="90"/>
      <c r="P325" s="1">
        <v>50</v>
      </c>
      <c r="Q325" s="3"/>
      <c r="R325" s="1"/>
      <c r="S325" s="1"/>
      <c r="T325" s="1"/>
      <c r="U325" s="1"/>
      <c r="V325" s="1"/>
      <c r="W325" s="1"/>
      <c r="X325" s="1"/>
      <c r="Y325" s="1"/>
      <c r="Z325" s="1"/>
      <c r="AA325" s="1"/>
      <c r="AB325" s="1"/>
      <c r="AC325" s="1"/>
      <c r="AD325" s="1"/>
      <c r="AE325" s="1"/>
      <c r="AF325" s="1"/>
      <c r="AG325" s="1"/>
      <c r="AH325" s="6"/>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row>
    <row r="326" spans="1:63" ht="16" thickBot="1" x14ac:dyDescent="0.25">
      <c r="A326" s="3">
        <v>326</v>
      </c>
      <c r="B326" s="3" t="s">
        <v>464</v>
      </c>
      <c r="C326" s="3" t="s">
        <v>543</v>
      </c>
      <c r="D326" s="1"/>
      <c r="E326" s="1"/>
      <c r="F326" s="1"/>
      <c r="G326" s="1" t="s">
        <v>51</v>
      </c>
      <c r="H326" s="1" t="s">
        <v>52</v>
      </c>
      <c r="I326" s="1" t="s">
        <v>476</v>
      </c>
      <c r="J326" s="113">
        <f>Table4[[#This Row],[total_cost_npr]]*(1/'Calculations &amp; Assumptions'!$C$6)</f>
        <v>61.046959199384133</v>
      </c>
      <c r="K326" s="113">
        <f>Table4[[#This Row],[system_cost_npr_per_kwp]]*(1/'Calculations &amp; Assumptions'!$C$6)</f>
        <v>61.046959199384133</v>
      </c>
      <c r="L326" s="23">
        <f>IF(Table4[[#This Row],[total_cost_inr]]&gt;0, Table4[[#This Row],[total_cost_inr]]*'Calculations &amp; Assumptions'!$C$7,IF(Table4[[#This Row],[total_cost_eur]]&gt;0,Table4[[#This Row],[total_cost_eur]]*'Calculations &amp; Assumptions'!$C$5,0))</f>
        <v>7930</v>
      </c>
      <c r="M326" s="77">
        <f>IF(H326="smartmeter_1ph",Table4[[#This Row],[total_cost_npr]],Table4[[#This Row],[total_cost_npr]]/Table4[[#This Row],[pv_kWp]])</f>
        <v>7930</v>
      </c>
      <c r="N326" s="1"/>
      <c r="O326" s="90"/>
      <c r="P326" s="1">
        <v>61</v>
      </c>
      <c r="Q326" s="3"/>
      <c r="R326" s="1"/>
      <c r="S326" s="1"/>
      <c r="T326" s="1"/>
      <c r="U326" s="1"/>
      <c r="V326" s="1"/>
      <c r="W326" s="1"/>
      <c r="X326" s="1"/>
      <c r="Y326" s="1"/>
      <c r="Z326" s="1"/>
      <c r="AA326" s="1"/>
      <c r="AB326" s="1"/>
      <c r="AC326" s="1"/>
      <c r="AD326" s="1"/>
      <c r="AE326" s="1"/>
      <c r="AF326" s="1"/>
      <c r="AG326" s="1"/>
      <c r="AH326" s="6"/>
      <c r="AI326" s="1"/>
      <c r="AJ326" s="1"/>
      <c r="AK326" s="1"/>
      <c r="AL326" s="1"/>
      <c r="AM326" s="1"/>
      <c r="AN326" s="1"/>
      <c r="AO326" s="1"/>
      <c r="AP326" s="1"/>
      <c r="AQ326" s="1"/>
      <c r="AR326" s="1"/>
      <c r="AS326" s="19"/>
      <c r="AT326" s="1"/>
      <c r="AU326" s="1"/>
      <c r="AV326" s="1"/>
      <c r="AW326" s="1"/>
      <c r="AX326" s="1"/>
      <c r="AY326" s="1"/>
      <c r="AZ326" s="1"/>
      <c r="BA326" s="1"/>
      <c r="BB326" s="1"/>
      <c r="BC326" s="1"/>
      <c r="BD326" s="1"/>
      <c r="BE326" s="1"/>
      <c r="BF326" s="1"/>
      <c r="BG326" s="1"/>
      <c r="BH326" s="1"/>
      <c r="BI326" s="1"/>
      <c r="BJ326" s="1"/>
      <c r="BK326" s="1"/>
    </row>
    <row r="327" spans="1:63" ht="16" thickBot="1" x14ac:dyDescent="0.25">
      <c r="A327" s="3">
        <v>327</v>
      </c>
      <c r="B327" s="3" t="s">
        <v>477</v>
      </c>
      <c r="C327" s="3" t="s">
        <v>543</v>
      </c>
      <c r="D327" s="1" t="s">
        <v>478</v>
      </c>
      <c r="E327" s="1"/>
      <c r="F327" s="1"/>
      <c r="G327" s="1" t="s">
        <v>102</v>
      </c>
      <c r="H327" s="1" t="s">
        <v>114</v>
      </c>
      <c r="I327" s="1"/>
      <c r="J327" s="113">
        <f>Table4[[#This Row],[total_cost_npr]]*(1/'Calculations &amp; Assumptions'!$C$6)</f>
        <v>135984.60354118553</v>
      </c>
      <c r="K327" s="113">
        <f>Table4[[#This Row],[system_cost_npr_per_kwp]]*(1/'Calculations &amp; Assumptions'!$C$6)</f>
        <v>22664.100590197584</v>
      </c>
      <c r="L327" s="23">
        <f>IF(Table4[[#This Row],[total_cost_inr]]&gt;0, Table4[[#This Row],[total_cost_inr]]*'Calculations &amp; Assumptions'!$C$7,IF(Table4[[#This Row],[total_cost_eur]]&gt;0,Table4[[#This Row],[total_cost_eur]]*'Calculations &amp; Assumptions'!$C$5,0))</f>
        <v>17664400</v>
      </c>
      <c r="M327" s="77">
        <f>IF(H327="smartmeter_1ph",Table4[[#This Row],[total_cost_npr]],Table4[[#This Row],[total_cost_npr]]/Table4[[#This Row],[pv_kWp]])</f>
        <v>2944066.6666666665</v>
      </c>
      <c r="N327" s="1"/>
      <c r="O327" s="90">
        <f>Table4[[#This Row],[total_cost_inr]]/Table4[[#This Row],[pv_kWp]]</f>
        <v>0</v>
      </c>
      <c r="P327" s="1">
        <v>135880</v>
      </c>
      <c r="Q327" s="3">
        <f>Table4[[#This Row],[total_cost_eur]]/Table4[[#This Row],[pv_kWp]]</f>
        <v>22646.666666666668</v>
      </c>
      <c r="R327" s="1"/>
      <c r="S327" s="1"/>
      <c r="T327" s="1">
        <v>6</v>
      </c>
      <c r="U327" s="1"/>
      <c r="V327" s="1"/>
      <c r="W327" s="1"/>
      <c r="X327" s="1"/>
      <c r="Y327" s="1"/>
      <c r="Z327" s="1"/>
      <c r="AA327" s="1"/>
      <c r="AB327" s="1"/>
      <c r="AC327" s="1"/>
      <c r="AD327" s="1">
        <v>5</v>
      </c>
      <c r="AE327" s="1"/>
      <c r="AF327" s="1"/>
      <c r="AG327" s="1"/>
      <c r="AH327" s="6"/>
      <c r="AI327" s="1"/>
      <c r="AJ327" s="1"/>
      <c r="AK327" s="1"/>
      <c r="AL327" s="1"/>
      <c r="AM327" s="1"/>
      <c r="AN327" s="1"/>
      <c r="AO327" s="1"/>
      <c r="AP327" s="1"/>
      <c r="AQ327" s="1"/>
      <c r="AR327" s="1"/>
      <c r="AS327" s="1" t="s">
        <v>479</v>
      </c>
      <c r="AT327" s="1" t="s">
        <v>480</v>
      </c>
      <c r="AU327" s="1">
        <v>0.1</v>
      </c>
      <c r="AV327" s="1">
        <v>440</v>
      </c>
      <c r="AW327" s="1">
        <v>103000</v>
      </c>
      <c r="AX327" s="1">
        <v>30800</v>
      </c>
      <c r="AY327" s="1">
        <v>101080</v>
      </c>
      <c r="AZ327" s="1">
        <v>0.4</v>
      </c>
      <c r="BA327" s="1">
        <v>4</v>
      </c>
      <c r="BB327" s="1">
        <v>107000</v>
      </c>
      <c r="BC327" s="1">
        <v>135880</v>
      </c>
      <c r="BD327" s="1">
        <v>22686</v>
      </c>
      <c r="BE327" s="1">
        <v>6</v>
      </c>
      <c r="BF327" s="1">
        <v>5</v>
      </c>
      <c r="BG327" s="1">
        <v>0.14000000000000001</v>
      </c>
      <c r="BH327" s="1" t="s">
        <v>481</v>
      </c>
      <c r="BI327" s="1"/>
      <c r="BJ327" s="1">
        <v>25270</v>
      </c>
      <c r="BK327" s="1"/>
    </row>
    <row r="328" spans="1:63" ht="16" thickBot="1" x14ac:dyDescent="0.25">
      <c r="A328" s="3">
        <v>328</v>
      </c>
      <c r="B328" s="3" t="s">
        <v>477</v>
      </c>
      <c r="C328" s="3" t="s">
        <v>543</v>
      </c>
      <c r="D328" s="1" t="s">
        <v>478</v>
      </c>
      <c r="E328" s="1"/>
      <c r="F328" s="1"/>
      <c r="G328" s="1" t="s">
        <v>102</v>
      </c>
      <c r="H328" s="1" t="s">
        <v>114</v>
      </c>
      <c r="I328" s="1"/>
      <c r="J328" s="113">
        <f>Table4[[#This Row],[total_cost_npr]]*(1/'Calculations &amp; Assumptions'!$C$6)</f>
        <v>137986.14318706695</v>
      </c>
      <c r="K328" s="113">
        <f>Table4[[#This Row],[system_cost_npr_per_kwp]]*(1/'Calculations &amp; Assumptions'!$C$6)</f>
        <v>13798.614318706695</v>
      </c>
      <c r="L328" s="23">
        <f>IF(Table4[[#This Row],[total_cost_inr]]&gt;0, Table4[[#This Row],[total_cost_inr]]*'Calculations &amp; Assumptions'!$C$7,IF(Table4[[#This Row],[total_cost_eur]]&gt;0,Table4[[#This Row],[total_cost_eur]]*'Calculations &amp; Assumptions'!$C$5,0))</f>
        <v>17924400</v>
      </c>
      <c r="M328" s="77">
        <f>IF(H328="smartmeter_1ph",Table4[[#This Row],[total_cost_npr]],Table4[[#This Row],[total_cost_npr]]/Table4[[#This Row],[pv_kWp]])</f>
        <v>1792440</v>
      </c>
      <c r="N328" s="1"/>
      <c r="O328" s="90">
        <f>Table4[[#This Row],[total_cost_inr]]/Table4[[#This Row],[pv_kWp]]</f>
        <v>0</v>
      </c>
      <c r="P328" s="1">
        <v>137880</v>
      </c>
      <c r="Q328" s="3">
        <f>Table4[[#This Row],[total_cost_eur]]/Table4[[#This Row],[pv_kWp]]</f>
        <v>13788</v>
      </c>
      <c r="R328" s="1"/>
      <c r="S328" s="1"/>
      <c r="T328" s="1">
        <v>10</v>
      </c>
      <c r="U328" s="1"/>
      <c r="V328" s="1"/>
      <c r="W328" s="1"/>
      <c r="X328" s="1"/>
      <c r="Y328" s="1"/>
      <c r="Z328" s="1"/>
      <c r="AA328" s="1"/>
      <c r="AB328" s="1"/>
      <c r="AC328" s="1"/>
      <c r="AD328" s="1">
        <v>5</v>
      </c>
      <c r="AE328" s="1"/>
      <c r="AF328" s="1"/>
      <c r="AG328" s="1"/>
      <c r="AH328" s="6"/>
      <c r="AI328" s="1"/>
      <c r="AJ328" s="1"/>
      <c r="AK328" s="1"/>
      <c r="AL328" s="1"/>
      <c r="AM328" s="1"/>
      <c r="AN328" s="1"/>
      <c r="AO328" s="1"/>
      <c r="AP328" s="1"/>
      <c r="AQ328" s="1"/>
      <c r="AR328" s="1"/>
      <c r="AS328" s="1" t="s">
        <v>479</v>
      </c>
      <c r="AT328" s="1" t="s">
        <v>480</v>
      </c>
      <c r="AU328" s="1">
        <v>0.15</v>
      </c>
      <c r="AV328" s="1">
        <v>440</v>
      </c>
      <c r="AW328" s="1">
        <v>103000</v>
      </c>
      <c r="AX328" s="1">
        <v>30800</v>
      </c>
      <c r="AY328" s="1">
        <v>101080</v>
      </c>
      <c r="AZ328" s="1">
        <v>0.4</v>
      </c>
      <c r="BA328" s="1">
        <v>4</v>
      </c>
      <c r="BB328" s="1">
        <v>109000</v>
      </c>
      <c r="BC328" s="1">
        <v>137880</v>
      </c>
      <c r="BD328" s="1">
        <v>21448</v>
      </c>
      <c r="BE328" s="1">
        <v>10</v>
      </c>
      <c r="BF328" s="1">
        <v>5</v>
      </c>
      <c r="BG328" s="1">
        <v>0.14000000000000001</v>
      </c>
      <c r="BH328" s="1" t="s">
        <v>481</v>
      </c>
      <c r="BI328" s="1"/>
      <c r="BJ328" s="1">
        <v>25270</v>
      </c>
      <c r="BK328" s="1"/>
    </row>
    <row r="329" spans="1:63" ht="16" thickBot="1" x14ac:dyDescent="0.25">
      <c r="A329" s="3">
        <v>329</v>
      </c>
      <c r="B329" s="3" t="s">
        <v>477</v>
      </c>
      <c r="C329" s="3" t="s">
        <v>543</v>
      </c>
      <c r="D329" s="1" t="s">
        <v>478</v>
      </c>
      <c r="E329" s="1"/>
      <c r="F329" s="1"/>
      <c r="G329" s="1" t="s">
        <v>102</v>
      </c>
      <c r="H329" s="1" t="s">
        <v>114</v>
      </c>
      <c r="I329" s="1"/>
      <c r="J329" s="113">
        <f>Table4[[#This Row],[total_cost_npr]]*(1/'Calculations &amp; Assumptions'!$C$6)</f>
        <v>139987.6828329484</v>
      </c>
      <c r="K329" s="113">
        <f>Table4[[#This Row],[system_cost_npr_per_kwp]]*(1/'Calculations &amp; Assumptions'!$C$6)</f>
        <v>9332.5121888632275</v>
      </c>
      <c r="L329" s="23">
        <f>IF(Table4[[#This Row],[total_cost_inr]]&gt;0, Table4[[#This Row],[total_cost_inr]]*'Calculations &amp; Assumptions'!$C$7,IF(Table4[[#This Row],[total_cost_eur]]&gt;0,Table4[[#This Row],[total_cost_eur]]*'Calculations &amp; Assumptions'!$C$5,0))</f>
        <v>18184400</v>
      </c>
      <c r="M329" s="77">
        <f>IF(H329="smartmeter_1ph",Table4[[#This Row],[total_cost_npr]],Table4[[#This Row],[total_cost_npr]]/Table4[[#This Row],[pv_kWp]])</f>
        <v>1212293.3333333333</v>
      </c>
      <c r="N329" s="1"/>
      <c r="O329" s="90">
        <f>Table4[[#This Row],[total_cost_inr]]/Table4[[#This Row],[pv_kWp]]</f>
        <v>0</v>
      </c>
      <c r="P329" s="1">
        <v>139880</v>
      </c>
      <c r="Q329" s="3">
        <f>Table4[[#This Row],[total_cost_eur]]/Table4[[#This Row],[pv_kWp]]</f>
        <v>9325.3333333333339</v>
      </c>
      <c r="R329" s="1"/>
      <c r="S329" s="1"/>
      <c r="T329" s="1">
        <v>15</v>
      </c>
      <c r="U329" s="1"/>
      <c r="V329" s="1"/>
      <c r="W329" s="1"/>
      <c r="X329" s="1"/>
      <c r="Y329" s="1"/>
      <c r="Z329" s="1"/>
      <c r="AA329" s="1"/>
      <c r="AB329" s="1"/>
      <c r="AC329" s="1"/>
      <c r="AD329" s="1">
        <v>5</v>
      </c>
      <c r="AE329" s="1"/>
      <c r="AF329" s="1"/>
      <c r="AG329" s="1"/>
      <c r="AH329" s="6"/>
      <c r="AI329" s="1"/>
      <c r="AJ329" s="1"/>
      <c r="AK329" s="1"/>
      <c r="AL329" s="1"/>
      <c r="AM329" s="1"/>
      <c r="AN329" s="1"/>
      <c r="AO329" s="1"/>
      <c r="AP329" s="1"/>
      <c r="AQ329" s="1"/>
      <c r="AR329" s="1"/>
      <c r="AS329" s="1" t="s">
        <v>479</v>
      </c>
      <c r="AT329" s="1" t="s">
        <v>480</v>
      </c>
      <c r="AU329" s="1">
        <v>0.2</v>
      </c>
      <c r="AV329" s="1">
        <v>440</v>
      </c>
      <c r="AW329" s="1">
        <v>103000</v>
      </c>
      <c r="AX329" s="1">
        <v>30800</v>
      </c>
      <c r="AY329" s="1">
        <v>101080</v>
      </c>
      <c r="AZ329" s="1">
        <v>0.4</v>
      </c>
      <c r="BA329" s="1">
        <v>4</v>
      </c>
      <c r="BB329" s="1">
        <v>111000</v>
      </c>
      <c r="BC329" s="1">
        <v>139880</v>
      </c>
      <c r="BD329" s="1">
        <v>20402</v>
      </c>
      <c r="BE329" s="1">
        <v>15</v>
      </c>
      <c r="BF329" s="1">
        <v>5</v>
      </c>
      <c r="BG329" s="1">
        <v>0.14000000000000001</v>
      </c>
      <c r="BH329" s="1" t="s">
        <v>481</v>
      </c>
      <c r="BI329" s="1"/>
      <c r="BJ329" s="1">
        <v>25270</v>
      </c>
      <c r="BK329" s="1"/>
    </row>
    <row r="330" spans="1:63" ht="16" thickBot="1" x14ac:dyDescent="0.25">
      <c r="A330" s="3">
        <v>330</v>
      </c>
      <c r="B330" s="3" t="s">
        <v>477</v>
      </c>
      <c r="C330" s="3" t="s">
        <v>543</v>
      </c>
      <c r="D330" s="1" t="s">
        <v>478</v>
      </c>
      <c r="E330" s="1"/>
      <c r="F330" s="1"/>
      <c r="G330" s="1" t="s">
        <v>102</v>
      </c>
      <c r="H330" s="1" t="s">
        <v>114</v>
      </c>
      <c r="I330" s="1"/>
      <c r="J330" s="113">
        <f>Table4[[#This Row],[total_cost_npr]]*(1/'Calculations &amp; Assumptions'!$C$6)</f>
        <v>151896.84372594301</v>
      </c>
      <c r="K330" s="113">
        <f>Table4[[#This Row],[system_cost_npr_per_kwp]]*(1/'Calculations &amp; Assumptions'!$C$6)</f>
        <v>6904.4019875428648</v>
      </c>
      <c r="L330" s="23">
        <f>IF(Table4[[#This Row],[total_cost_inr]]&gt;0, Table4[[#This Row],[total_cost_inr]]*'Calculations &amp; Assumptions'!$C$7,IF(Table4[[#This Row],[total_cost_eur]]&gt;0,Table4[[#This Row],[total_cost_eur]]*'Calculations &amp; Assumptions'!$C$5,0))</f>
        <v>19731400</v>
      </c>
      <c r="M330" s="77">
        <f>IF(H330="smartmeter_1ph",Table4[[#This Row],[total_cost_npr]],Table4[[#This Row],[total_cost_npr]]/Table4[[#This Row],[pv_kWp]])</f>
        <v>896881.81818181823</v>
      </c>
      <c r="N330" s="1"/>
      <c r="O330" s="90">
        <f>Table4[[#This Row],[total_cost_inr]]/Table4[[#This Row],[pv_kWp]]</f>
        <v>0</v>
      </c>
      <c r="P330" s="1">
        <v>151780</v>
      </c>
      <c r="Q330" s="3">
        <f>Table4[[#This Row],[total_cost_eur]]/Table4[[#This Row],[pv_kWp]]</f>
        <v>6899.090909090909</v>
      </c>
      <c r="R330" s="1"/>
      <c r="S330" s="1"/>
      <c r="T330" s="1">
        <v>22</v>
      </c>
      <c r="U330" s="1"/>
      <c r="V330" s="1"/>
      <c r="W330" s="1"/>
      <c r="X330" s="1"/>
      <c r="Y330" s="1"/>
      <c r="Z330" s="1"/>
      <c r="AA330" s="1"/>
      <c r="AB330" s="1"/>
      <c r="AC330" s="1"/>
      <c r="AD330" s="1">
        <v>18</v>
      </c>
      <c r="AE330" s="1"/>
      <c r="AF330" s="1"/>
      <c r="AG330" s="1"/>
      <c r="AH330" s="6"/>
      <c r="AI330" s="1"/>
      <c r="AJ330" s="1"/>
      <c r="AK330" s="1"/>
      <c r="AL330" s="1"/>
      <c r="AM330" s="1"/>
      <c r="AN330" s="1"/>
      <c r="AO330" s="1"/>
      <c r="AP330" s="1"/>
      <c r="AQ330" s="1"/>
      <c r="AR330" s="1"/>
      <c r="AS330" s="1" t="s">
        <v>479</v>
      </c>
      <c r="AT330" s="1" t="s">
        <v>480</v>
      </c>
      <c r="AU330" s="1">
        <v>0.3</v>
      </c>
      <c r="AV330" s="1">
        <v>440</v>
      </c>
      <c r="AW330" s="1">
        <v>103000</v>
      </c>
      <c r="AX330" s="1">
        <v>30800</v>
      </c>
      <c r="AY330" s="1">
        <v>101080</v>
      </c>
      <c r="AZ330" s="1">
        <v>0.4</v>
      </c>
      <c r="BA330" s="1">
        <v>4</v>
      </c>
      <c r="BB330" s="1">
        <v>122900.00000000001</v>
      </c>
      <c r="BC330" s="1">
        <v>151780</v>
      </c>
      <c r="BD330" s="1">
        <v>17684</v>
      </c>
      <c r="BE330" s="1">
        <v>22</v>
      </c>
      <c r="BF330" s="1">
        <v>18</v>
      </c>
      <c r="BG330" s="1">
        <v>0.14000000000000001</v>
      </c>
      <c r="BH330" s="1" t="s">
        <v>481</v>
      </c>
      <c r="BI330" s="1"/>
      <c r="BJ330" s="1">
        <v>25270</v>
      </c>
      <c r="BK330" s="1"/>
    </row>
    <row r="331" spans="1:63" ht="16" thickBot="1" x14ac:dyDescent="0.25">
      <c r="A331" s="3">
        <v>331</v>
      </c>
      <c r="B331" s="3" t="s">
        <v>477</v>
      </c>
      <c r="C331" s="3" t="s">
        <v>543</v>
      </c>
      <c r="D331" s="1" t="s">
        <v>478</v>
      </c>
      <c r="E331" s="1"/>
      <c r="F331" s="1"/>
      <c r="G331" s="1" t="s">
        <v>102</v>
      </c>
      <c r="H331" s="1" t="s">
        <v>114</v>
      </c>
      <c r="I331" s="1"/>
      <c r="J331" s="113">
        <f>Table4[[#This Row],[total_cost_npr]]*(1/'Calculations &amp; Assumptions'!$C$6)</f>
        <v>142489.60739030023</v>
      </c>
      <c r="K331" s="113">
        <f>Table4[[#This Row],[system_cost_npr_per_kwp]]*(1/'Calculations &amp; Assumptions'!$C$6)</f>
        <v>7124.4803695150113</v>
      </c>
      <c r="L331" s="23">
        <f>IF(Table4[[#This Row],[total_cost_inr]]&gt;0, Table4[[#This Row],[total_cost_inr]]*'Calculations &amp; Assumptions'!$C$7,IF(Table4[[#This Row],[total_cost_eur]]&gt;0,Table4[[#This Row],[total_cost_eur]]*'Calculations &amp; Assumptions'!$C$5,0))</f>
        <v>18509400</v>
      </c>
      <c r="M331" s="77">
        <f>IF(H331="smartmeter_1ph",Table4[[#This Row],[total_cost_npr]],Table4[[#This Row],[total_cost_npr]]/Table4[[#This Row],[pv_kWp]])</f>
        <v>925470</v>
      </c>
      <c r="N331" s="1"/>
      <c r="O331" s="90">
        <f>Table4[[#This Row],[total_cost_inr]]/Table4[[#This Row],[pv_kWp]]</f>
        <v>0</v>
      </c>
      <c r="P331" s="1">
        <v>142380</v>
      </c>
      <c r="Q331" s="3">
        <f>Table4[[#This Row],[total_cost_eur]]/Table4[[#This Row],[pv_kWp]]</f>
        <v>7119</v>
      </c>
      <c r="R331" s="1"/>
      <c r="S331" s="1"/>
      <c r="T331" s="1">
        <v>20</v>
      </c>
      <c r="U331" s="1"/>
      <c r="V331" s="1"/>
      <c r="W331" s="1"/>
      <c r="X331" s="1"/>
      <c r="Y331" s="1"/>
      <c r="Z331" s="1"/>
      <c r="AA331" s="1"/>
      <c r="AB331" s="1"/>
      <c r="AC331" s="1"/>
      <c r="AD331" s="1">
        <v>8</v>
      </c>
      <c r="AE331" s="1"/>
      <c r="AF331" s="1"/>
      <c r="AG331" s="1"/>
      <c r="AH331" s="6"/>
      <c r="AI331" s="1"/>
      <c r="AJ331" s="1"/>
      <c r="AK331" s="1"/>
      <c r="AL331" s="1"/>
      <c r="AM331" s="1"/>
      <c r="AN331" s="1"/>
      <c r="AO331" s="1"/>
      <c r="AP331" s="1"/>
      <c r="AQ331" s="1"/>
      <c r="AR331" s="1"/>
      <c r="AS331" s="1" t="s">
        <v>479</v>
      </c>
      <c r="AT331" s="1" t="s">
        <v>480</v>
      </c>
      <c r="AU331" s="1">
        <v>0.25</v>
      </c>
      <c r="AV331" s="1">
        <v>440</v>
      </c>
      <c r="AW331" s="1">
        <v>103000</v>
      </c>
      <c r="AX331" s="1">
        <v>30800</v>
      </c>
      <c r="AY331" s="1">
        <v>101080</v>
      </c>
      <c r="AZ331" s="1">
        <v>0.4</v>
      </c>
      <c r="BA331" s="1">
        <v>4</v>
      </c>
      <c r="BB331" s="1">
        <v>113500</v>
      </c>
      <c r="BC331" s="1">
        <v>142380</v>
      </c>
      <c r="BD331" s="1">
        <v>19697</v>
      </c>
      <c r="BE331" s="1">
        <v>20</v>
      </c>
      <c r="BF331" s="1">
        <v>8</v>
      </c>
      <c r="BG331" s="1">
        <v>0.14000000000000001</v>
      </c>
      <c r="BH331" s="1" t="s">
        <v>481</v>
      </c>
      <c r="BI331" s="1"/>
      <c r="BJ331" s="1">
        <v>25270</v>
      </c>
      <c r="BK331" s="1"/>
    </row>
    <row r="332" spans="1:63" ht="16" thickBot="1" x14ac:dyDescent="0.25">
      <c r="A332" s="3">
        <v>332</v>
      </c>
      <c r="B332" s="3" t="s">
        <v>477</v>
      </c>
      <c r="C332" s="3" t="s">
        <v>543</v>
      </c>
      <c r="D332" s="1" t="s">
        <v>478</v>
      </c>
      <c r="E332" s="1"/>
      <c r="F332" s="1"/>
      <c r="G332" s="1" t="s">
        <v>102</v>
      </c>
      <c r="H332" s="1" t="s">
        <v>114</v>
      </c>
      <c r="I332" s="1"/>
      <c r="J332" s="113">
        <f>Table4[[#This Row],[total_cost_npr]]*(1/'Calculations &amp; Assumptions'!$C$6)</f>
        <v>161003.8491147036</v>
      </c>
      <c r="K332" s="113">
        <f>Table4[[#This Row],[system_cost_npr_per_kwp]]*(1/'Calculations &amp; Assumptions'!$C$6)</f>
        <v>5366.7949704901202</v>
      </c>
      <c r="L332" s="23">
        <f>IF(Table4[[#This Row],[total_cost_inr]]&gt;0, Table4[[#This Row],[total_cost_inr]]*'Calculations &amp; Assumptions'!$C$7,IF(Table4[[#This Row],[total_cost_eur]]&gt;0,Table4[[#This Row],[total_cost_eur]]*'Calculations &amp; Assumptions'!$C$5,0))</f>
        <v>20914400</v>
      </c>
      <c r="M332" s="77">
        <f>IF(H332="smartmeter_1ph",Table4[[#This Row],[total_cost_npr]],Table4[[#This Row],[total_cost_npr]]/Table4[[#This Row],[pv_kWp]])</f>
        <v>697146.66666666663</v>
      </c>
      <c r="N332" s="1"/>
      <c r="O332" s="90">
        <f>Table4[[#This Row],[total_cost_inr]]/Table4[[#This Row],[pv_kWp]]</f>
        <v>0</v>
      </c>
      <c r="P332" s="1">
        <v>160880</v>
      </c>
      <c r="Q332" s="3">
        <f>Table4[[#This Row],[total_cost_eur]]/Table4[[#This Row],[pv_kWp]]</f>
        <v>5362.666666666667</v>
      </c>
      <c r="R332" s="1"/>
      <c r="S332" s="1"/>
      <c r="T332" s="1">
        <v>30</v>
      </c>
      <c r="U332" s="1"/>
      <c r="V332" s="1"/>
      <c r="W332" s="1"/>
      <c r="X332" s="1"/>
      <c r="Y332" s="1"/>
      <c r="Z332" s="1"/>
      <c r="AA332" s="1"/>
      <c r="AB332" s="1"/>
      <c r="AC332" s="1"/>
      <c r="AD332" s="1">
        <v>30</v>
      </c>
      <c r="AE332" s="1"/>
      <c r="AF332" s="1"/>
      <c r="AG332" s="1"/>
      <c r="AH332" s="6"/>
      <c r="AI332" s="1"/>
      <c r="AJ332" s="1"/>
      <c r="AK332" s="1"/>
      <c r="AL332" s="1"/>
      <c r="AM332" s="1"/>
      <c r="AN332" s="1"/>
      <c r="AO332" s="1"/>
      <c r="AP332" s="1"/>
      <c r="AQ332" s="1"/>
      <c r="AR332" s="1"/>
      <c r="AS332" s="1" t="s">
        <v>479</v>
      </c>
      <c r="AT332" s="1" t="s">
        <v>480</v>
      </c>
      <c r="AU332" s="1">
        <v>0.4</v>
      </c>
      <c r="AV332" s="1">
        <v>440</v>
      </c>
      <c r="AW332" s="1">
        <v>103000</v>
      </c>
      <c r="AX332" s="1">
        <v>30800</v>
      </c>
      <c r="AY332" s="1">
        <v>101080</v>
      </c>
      <c r="AZ332" s="1">
        <v>0.4</v>
      </c>
      <c r="BA332" s="1">
        <v>4</v>
      </c>
      <c r="BB332" s="1">
        <v>132000</v>
      </c>
      <c r="BC332" s="1">
        <v>160880</v>
      </c>
      <c r="BD332" s="1">
        <v>15459</v>
      </c>
      <c r="BE332" s="1">
        <v>30</v>
      </c>
      <c r="BF332" s="1">
        <v>30</v>
      </c>
      <c r="BG332" s="1">
        <v>0.14000000000000001</v>
      </c>
      <c r="BH332" s="1" t="s">
        <v>481</v>
      </c>
      <c r="BI332" s="1"/>
      <c r="BJ332" s="1">
        <v>25270</v>
      </c>
      <c r="BK332" s="1"/>
    </row>
    <row r="333" spans="1:63" ht="16" thickBot="1" x14ac:dyDescent="0.25">
      <c r="A333" s="3">
        <v>333</v>
      </c>
      <c r="B333" s="3" t="s">
        <v>477</v>
      </c>
      <c r="C333" s="3" t="s">
        <v>543</v>
      </c>
      <c r="D333" s="1" t="s">
        <v>478</v>
      </c>
      <c r="E333" s="1"/>
      <c r="F333" s="1"/>
      <c r="G333" s="1" t="s">
        <v>102</v>
      </c>
      <c r="H333" s="1" t="s">
        <v>114</v>
      </c>
      <c r="I333" s="1"/>
      <c r="J333" s="113">
        <f>Table4[[#This Row],[total_cost_npr]]*(1/'Calculations &amp; Assumptions'!$C$6)</f>
        <v>152997.69053117782</v>
      </c>
      <c r="K333" s="113">
        <f>Table4[[#This Row],[system_cost_npr_per_kwp]]*(1/'Calculations &amp; Assumptions'!$C$6)</f>
        <v>6119.9076212471127</v>
      </c>
      <c r="L333" s="23">
        <f>IF(Table4[[#This Row],[total_cost_inr]]&gt;0, Table4[[#This Row],[total_cost_inr]]*'Calculations &amp; Assumptions'!$C$7,IF(Table4[[#This Row],[total_cost_eur]]&gt;0,Table4[[#This Row],[total_cost_eur]]*'Calculations &amp; Assumptions'!$C$5,0))</f>
        <v>19874400</v>
      </c>
      <c r="M333" s="77">
        <f>IF(H333="smartmeter_1ph",Table4[[#This Row],[total_cost_npr]],Table4[[#This Row],[total_cost_npr]]/Table4[[#This Row],[pv_kWp]])</f>
        <v>794976</v>
      </c>
      <c r="N333" s="1"/>
      <c r="O333" s="90">
        <f>Table4[[#This Row],[total_cost_inr]]/Table4[[#This Row],[pv_kWp]]</f>
        <v>0</v>
      </c>
      <c r="P333" s="1">
        <v>152880</v>
      </c>
      <c r="Q333" s="3">
        <f>Table4[[#This Row],[total_cost_eur]]/Table4[[#This Row],[pv_kWp]]</f>
        <v>6115.2</v>
      </c>
      <c r="R333" s="1"/>
      <c r="S333" s="1"/>
      <c r="T333" s="1">
        <v>25</v>
      </c>
      <c r="U333" s="1"/>
      <c r="V333" s="1"/>
      <c r="W333" s="1"/>
      <c r="X333" s="1"/>
      <c r="Y333" s="1"/>
      <c r="Z333" s="1"/>
      <c r="AA333" s="1"/>
      <c r="AB333" s="1"/>
      <c r="AC333" s="1"/>
      <c r="AD333" s="1">
        <v>19</v>
      </c>
      <c r="AE333" s="1"/>
      <c r="AF333" s="1"/>
      <c r="AG333" s="1"/>
      <c r="AH333" s="6"/>
      <c r="AI333" s="1"/>
      <c r="AJ333" s="1"/>
      <c r="AK333" s="1"/>
      <c r="AL333" s="1"/>
      <c r="AM333" s="1"/>
      <c r="AN333" s="1"/>
      <c r="AO333" s="1"/>
      <c r="AP333" s="1"/>
      <c r="AQ333" s="1"/>
      <c r="AR333" s="1"/>
      <c r="AS333" s="1" t="s">
        <v>479</v>
      </c>
      <c r="AT333" s="1" t="s">
        <v>480</v>
      </c>
      <c r="AU333" s="1">
        <v>0.35</v>
      </c>
      <c r="AV333" s="1">
        <v>440</v>
      </c>
      <c r="AW333" s="1">
        <v>103000</v>
      </c>
      <c r="AX333" s="1">
        <v>30800</v>
      </c>
      <c r="AY333" s="1">
        <v>101080</v>
      </c>
      <c r="AZ333" s="1">
        <v>0.4</v>
      </c>
      <c r="BA333" s="1">
        <v>4</v>
      </c>
      <c r="BB333" s="1">
        <v>124000</v>
      </c>
      <c r="BC333" s="1">
        <v>152880</v>
      </c>
      <c r="BD333" s="1">
        <v>17077</v>
      </c>
      <c r="BE333" s="1">
        <v>25</v>
      </c>
      <c r="BF333" s="1">
        <v>19</v>
      </c>
      <c r="BG333" s="1">
        <v>0.14000000000000001</v>
      </c>
      <c r="BH333" s="1" t="s">
        <v>481</v>
      </c>
      <c r="BI333" s="1"/>
      <c r="BJ333" s="1">
        <v>25270</v>
      </c>
      <c r="BK333" s="1"/>
    </row>
    <row r="334" spans="1:63" ht="16" thickBot="1" x14ac:dyDescent="0.25">
      <c r="A334" s="3">
        <v>334</v>
      </c>
      <c r="B334" s="3" t="s">
        <v>477</v>
      </c>
      <c r="C334" s="3" t="s">
        <v>543</v>
      </c>
      <c r="D334" s="1" t="s">
        <v>478</v>
      </c>
      <c r="E334" s="1"/>
      <c r="F334" s="1"/>
      <c r="G334" s="1" t="s">
        <v>102</v>
      </c>
      <c r="H334" s="1" t="s">
        <v>114</v>
      </c>
      <c r="I334" s="1"/>
      <c r="J334" s="113">
        <f>Table4[[#This Row],[total_cost_npr]]*(1/'Calculations &amp; Assumptions'!$C$6)</f>
        <v>166007.69822940722</v>
      </c>
      <c r="K334" s="113">
        <f>Table4[[#This Row],[system_cost_npr_per_kwp]]*(1/'Calculations &amp; Assumptions'!$C$6)</f>
        <v>4150.1924557351804</v>
      </c>
      <c r="L334" s="23">
        <f>IF(Table4[[#This Row],[total_cost_inr]]&gt;0, Table4[[#This Row],[total_cost_inr]]*'Calculations &amp; Assumptions'!$C$7,IF(Table4[[#This Row],[total_cost_eur]]&gt;0,Table4[[#This Row],[total_cost_eur]]*'Calculations &amp; Assumptions'!$C$5,0))</f>
        <v>21564400</v>
      </c>
      <c r="M334" s="77">
        <f>IF(H334="smartmeter_1ph",Table4[[#This Row],[total_cost_npr]],Table4[[#This Row],[total_cost_npr]]/Table4[[#This Row],[pv_kWp]])</f>
        <v>539110</v>
      </c>
      <c r="N334" s="1"/>
      <c r="O334" s="90">
        <f>Table4[[#This Row],[total_cost_inr]]/Table4[[#This Row],[pv_kWp]]</f>
        <v>0</v>
      </c>
      <c r="P334" s="1">
        <v>165880</v>
      </c>
      <c r="Q334" s="3">
        <f>Table4[[#This Row],[total_cost_eur]]/Table4[[#This Row],[pv_kWp]]</f>
        <v>4147</v>
      </c>
      <c r="R334" s="1"/>
      <c r="S334" s="1"/>
      <c r="T334" s="1">
        <v>40</v>
      </c>
      <c r="U334" s="1"/>
      <c r="V334" s="1"/>
      <c r="W334" s="1"/>
      <c r="X334" s="1"/>
      <c r="Y334" s="1"/>
      <c r="Z334" s="1"/>
      <c r="AA334" s="1"/>
      <c r="AB334" s="1"/>
      <c r="AC334" s="1"/>
      <c r="AD334" s="1">
        <v>32</v>
      </c>
      <c r="AE334" s="1"/>
      <c r="AF334" s="1"/>
      <c r="AG334" s="1"/>
      <c r="AH334" s="6"/>
      <c r="AI334" s="1"/>
      <c r="AJ334" s="1"/>
      <c r="AK334" s="1"/>
      <c r="AL334" s="1"/>
      <c r="AM334" s="1"/>
      <c r="AN334" s="1"/>
      <c r="AO334" s="1"/>
      <c r="AP334" s="1"/>
      <c r="AQ334" s="1"/>
      <c r="AR334" s="1"/>
      <c r="AS334" s="1" t="s">
        <v>479</v>
      </c>
      <c r="AT334" s="1" t="s">
        <v>480</v>
      </c>
      <c r="AU334" s="1">
        <v>0.45</v>
      </c>
      <c r="AV334" s="1">
        <v>440</v>
      </c>
      <c r="AW334" s="1">
        <v>103000</v>
      </c>
      <c r="AX334" s="1">
        <v>30800</v>
      </c>
      <c r="AY334" s="1">
        <v>101080</v>
      </c>
      <c r="AZ334" s="1">
        <v>0.4</v>
      </c>
      <c r="BA334" s="1">
        <v>4</v>
      </c>
      <c r="BB334" s="1">
        <v>137000</v>
      </c>
      <c r="BC334" s="1">
        <v>165880</v>
      </c>
      <c r="BD334" s="1">
        <v>13981</v>
      </c>
      <c r="BE334" s="1">
        <v>40</v>
      </c>
      <c r="BF334" s="1">
        <v>32</v>
      </c>
      <c r="BG334" s="1">
        <v>0.14000000000000001</v>
      </c>
      <c r="BH334" s="1" t="s">
        <v>481</v>
      </c>
      <c r="BI334" s="1"/>
      <c r="BJ334" s="1">
        <v>25270</v>
      </c>
      <c r="BK334" s="1"/>
    </row>
    <row r="335" spans="1:63" ht="16" thickBot="1" x14ac:dyDescent="0.25">
      <c r="A335" s="3">
        <v>335</v>
      </c>
      <c r="B335" s="3" t="s">
        <v>477</v>
      </c>
      <c r="C335" s="3" t="s">
        <v>543</v>
      </c>
      <c r="D335" s="1" t="s">
        <v>478</v>
      </c>
      <c r="E335" s="1"/>
      <c r="F335" s="1"/>
      <c r="G335" s="1" t="s">
        <v>102</v>
      </c>
      <c r="H335" s="1" t="s">
        <v>114</v>
      </c>
      <c r="I335" s="1"/>
      <c r="J335" s="113">
        <f>Table4[[#This Row],[total_cost_npr]]*(1/'Calculations &amp; Assumptions'!$C$6)</f>
        <v>171011.54734411085</v>
      </c>
      <c r="K335" s="113">
        <f>Table4[[#This Row],[system_cost_npr_per_kwp]]*(1/'Calculations &amp; Assumptions'!$C$6)</f>
        <v>3420.2309468822168</v>
      </c>
      <c r="L335" s="23">
        <f>IF(Table4[[#This Row],[total_cost_inr]]&gt;0, Table4[[#This Row],[total_cost_inr]]*'Calculations &amp; Assumptions'!$C$7,IF(Table4[[#This Row],[total_cost_eur]]&gt;0,Table4[[#This Row],[total_cost_eur]]*'Calculations &amp; Assumptions'!$C$5,0))</f>
        <v>22214400</v>
      </c>
      <c r="M335" s="77">
        <f>IF(H335="smartmeter_1ph",Table4[[#This Row],[total_cost_npr]],Table4[[#This Row],[total_cost_npr]]/Table4[[#This Row],[pv_kWp]])</f>
        <v>444288</v>
      </c>
      <c r="N335" s="1"/>
      <c r="O335" s="90">
        <f>Table4[[#This Row],[total_cost_inr]]/Table4[[#This Row],[pv_kWp]]</f>
        <v>0</v>
      </c>
      <c r="P335" s="1">
        <v>170880</v>
      </c>
      <c r="Q335" s="3">
        <f>Table4[[#This Row],[total_cost_eur]]/Table4[[#This Row],[pv_kWp]]</f>
        <v>3417.6</v>
      </c>
      <c r="R335" s="1"/>
      <c r="S335" s="1"/>
      <c r="T335" s="1">
        <v>50</v>
      </c>
      <c r="U335" s="1"/>
      <c r="V335" s="1"/>
      <c r="W335" s="1"/>
      <c r="X335" s="1"/>
      <c r="Y335" s="1"/>
      <c r="Z335" s="1"/>
      <c r="AA335" s="1"/>
      <c r="AB335" s="1"/>
      <c r="AC335" s="1"/>
      <c r="AD335" s="1">
        <v>34</v>
      </c>
      <c r="AE335" s="1"/>
      <c r="AF335" s="1"/>
      <c r="AG335" s="1"/>
      <c r="AH335" s="6"/>
      <c r="AI335" s="1"/>
      <c r="AJ335" s="1"/>
      <c r="AK335" s="1"/>
      <c r="AL335" s="1"/>
      <c r="AM335" s="1"/>
      <c r="AN335" s="1"/>
      <c r="AO335" s="1"/>
      <c r="AP335" s="1"/>
      <c r="AQ335" s="1"/>
      <c r="AR335" s="1"/>
      <c r="AS335" s="1" t="s">
        <v>479</v>
      </c>
      <c r="AT335" s="1" t="s">
        <v>480</v>
      </c>
      <c r="AU335" s="1">
        <v>0.5</v>
      </c>
      <c r="AV335" s="1">
        <v>440</v>
      </c>
      <c r="AW335" s="1">
        <v>103000</v>
      </c>
      <c r="AX335" s="1">
        <v>30800</v>
      </c>
      <c r="AY335" s="1">
        <v>101080</v>
      </c>
      <c r="AZ335" s="1">
        <v>0.4</v>
      </c>
      <c r="BA335" s="1">
        <v>4</v>
      </c>
      <c r="BB335" s="1">
        <v>142000</v>
      </c>
      <c r="BC335" s="1">
        <v>170880</v>
      </c>
      <c r="BD335" s="1">
        <v>12896</v>
      </c>
      <c r="BE335" s="1">
        <v>50</v>
      </c>
      <c r="BF335" s="1">
        <v>34</v>
      </c>
      <c r="BG335" s="1">
        <v>0.14000000000000001</v>
      </c>
      <c r="BH335" s="1" t="s">
        <v>481</v>
      </c>
      <c r="BI335" s="1"/>
      <c r="BJ335" s="1">
        <v>25270</v>
      </c>
      <c r="BK335" s="1"/>
    </row>
    <row r="336" spans="1:63" ht="16" thickBot="1" x14ac:dyDescent="0.25">
      <c r="A336" s="3">
        <v>336</v>
      </c>
      <c r="B336" s="3" t="s">
        <v>477</v>
      </c>
      <c r="C336" s="3" t="s">
        <v>543</v>
      </c>
      <c r="D336" s="1" t="s">
        <v>478</v>
      </c>
      <c r="E336" s="1"/>
      <c r="F336" s="1"/>
      <c r="G336" s="1" t="s">
        <v>102</v>
      </c>
      <c r="H336" s="1" t="s">
        <v>114</v>
      </c>
      <c r="I336" s="1"/>
      <c r="J336" s="113">
        <f>Table4[[#This Row],[total_cost_npr]]*(1/'Calculations &amp; Assumptions'!$C$6)</f>
        <v>180018.47575057735</v>
      </c>
      <c r="K336" s="113">
        <f>Table4[[#This Row],[system_cost_npr_per_kwp]]*(1/'Calculations &amp; Assumptions'!$C$6)</f>
        <v>2694.8873615355892</v>
      </c>
      <c r="L336" s="23">
        <f>IF(Table4[[#This Row],[total_cost_inr]]&gt;0, Table4[[#This Row],[total_cost_inr]]*'Calculations &amp; Assumptions'!$C$7,IF(Table4[[#This Row],[total_cost_eur]]&gt;0,Table4[[#This Row],[total_cost_eur]]*'Calculations &amp; Assumptions'!$C$5,0))</f>
        <v>23384400</v>
      </c>
      <c r="M336" s="77">
        <f>IF(H336="smartmeter_1ph",Table4[[#This Row],[total_cost_npr]],Table4[[#This Row],[total_cost_npr]]/Table4[[#This Row],[pv_kWp]])</f>
        <v>350065.86826347309</v>
      </c>
      <c r="N336" s="1"/>
      <c r="O336" s="90">
        <f>Table4[[#This Row],[total_cost_inr]]/Table4[[#This Row],[pv_kWp]]</f>
        <v>0</v>
      </c>
      <c r="P336" s="1">
        <v>179880</v>
      </c>
      <c r="Q336" s="3">
        <f>Table4[[#This Row],[total_cost_eur]]/Table4[[#This Row],[pv_kWp]]</f>
        <v>2692.8143712574852</v>
      </c>
      <c r="R336" s="1"/>
      <c r="S336" s="1"/>
      <c r="T336" s="1">
        <v>66.8</v>
      </c>
      <c r="U336" s="1"/>
      <c r="V336" s="1"/>
      <c r="W336" s="1"/>
      <c r="X336" s="1"/>
      <c r="Y336" s="1"/>
      <c r="Z336" s="1"/>
      <c r="AA336" s="1"/>
      <c r="AB336" s="1"/>
      <c r="AC336" s="1"/>
      <c r="AD336" s="1">
        <v>38</v>
      </c>
      <c r="AE336" s="1"/>
      <c r="AF336" s="1"/>
      <c r="AG336" s="1"/>
      <c r="AH336" s="6"/>
      <c r="AI336" s="1"/>
      <c r="AJ336" s="1"/>
      <c r="AK336" s="1"/>
      <c r="AL336" s="1"/>
      <c r="AM336" s="1"/>
      <c r="AN336" s="1"/>
      <c r="AO336" s="1"/>
      <c r="AP336" s="1"/>
      <c r="AQ336" s="1"/>
      <c r="AR336" s="1"/>
      <c r="AS336" s="1" t="s">
        <v>479</v>
      </c>
      <c r="AT336" s="1" t="s">
        <v>480</v>
      </c>
      <c r="AU336" s="1">
        <v>0.55000000000000004</v>
      </c>
      <c r="AV336" s="1">
        <v>440</v>
      </c>
      <c r="AW336" s="1">
        <v>103000</v>
      </c>
      <c r="AX336" s="1">
        <v>30800</v>
      </c>
      <c r="AY336" s="1">
        <v>101080</v>
      </c>
      <c r="AZ336" s="1">
        <v>0.4</v>
      </c>
      <c r="BA336" s="1">
        <v>4</v>
      </c>
      <c r="BB336" s="1">
        <v>151000</v>
      </c>
      <c r="BC336" s="1">
        <v>179880</v>
      </c>
      <c r="BD336" s="1">
        <v>11501</v>
      </c>
      <c r="BE336" s="1">
        <v>66.8</v>
      </c>
      <c r="BF336" s="1">
        <v>38</v>
      </c>
      <c r="BG336" s="1">
        <v>0.14000000000000001</v>
      </c>
      <c r="BH336" s="1" t="s">
        <v>481</v>
      </c>
      <c r="BI336" s="1"/>
      <c r="BJ336" s="1">
        <v>25270</v>
      </c>
      <c r="BK336" s="1"/>
    </row>
    <row r="337" spans="1:63" ht="16" thickBot="1" x14ac:dyDescent="0.25">
      <c r="A337" s="3">
        <v>337</v>
      </c>
      <c r="B337" s="3" t="s">
        <v>477</v>
      </c>
      <c r="C337" s="3" t="s">
        <v>543</v>
      </c>
      <c r="D337" s="1" t="s">
        <v>478</v>
      </c>
      <c r="E337" s="1"/>
      <c r="F337" s="1"/>
      <c r="G337" s="1" t="s">
        <v>102</v>
      </c>
      <c r="H337" s="1" t="s">
        <v>114</v>
      </c>
      <c r="I337" s="1"/>
      <c r="J337" s="113">
        <f>Table4[[#This Row],[total_cost_npr]]*(1/'Calculations &amp; Assumptions'!$C$6)</f>
        <v>188024.63433410315</v>
      </c>
      <c r="K337" s="113">
        <f>Table4[[#This Row],[system_cost_npr_per_kwp]]*(1/'Calculations &amp; Assumptions'!$C$6)</f>
        <v>2410.5722350526044</v>
      </c>
      <c r="L337" s="23">
        <f>IF(Table4[[#This Row],[total_cost_inr]]&gt;0, Table4[[#This Row],[total_cost_inr]]*'Calculations &amp; Assumptions'!$C$7,IF(Table4[[#This Row],[total_cost_eur]]&gt;0,Table4[[#This Row],[total_cost_eur]]*'Calculations &amp; Assumptions'!$C$5,0))</f>
        <v>24424400</v>
      </c>
      <c r="M337" s="77">
        <f>IF(H337="smartmeter_1ph",Table4[[#This Row],[total_cost_npr]],Table4[[#This Row],[total_cost_npr]]/Table4[[#This Row],[pv_kWp]])</f>
        <v>313133.33333333331</v>
      </c>
      <c r="N337" s="1"/>
      <c r="O337" s="90">
        <f>Table4[[#This Row],[total_cost_inr]]/Table4[[#This Row],[pv_kWp]]</f>
        <v>0</v>
      </c>
      <c r="P337" s="1">
        <v>187880</v>
      </c>
      <c r="Q337" s="3">
        <f>Table4[[#This Row],[total_cost_eur]]/Table4[[#This Row],[pv_kWp]]</f>
        <v>2408.7179487179487</v>
      </c>
      <c r="R337" s="1"/>
      <c r="S337" s="1"/>
      <c r="T337" s="1">
        <v>78</v>
      </c>
      <c r="U337" s="1"/>
      <c r="V337" s="1"/>
      <c r="W337" s="1"/>
      <c r="X337" s="1"/>
      <c r="Y337" s="1"/>
      <c r="Z337" s="1"/>
      <c r="AA337" s="1"/>
      <c r="AB337" s="1"/>
      <c r="AC337" s="1"/>
      <c r="AD337" s="1">
        <v>46</v>
      </c>
      <c r="AE337" s="1"/>
      <c r="AF337" s="1"/>
      <c r="AG337" s="1"/>
      <c r="AH337" s="6"/>
      <c r="AI337" s="1"/>
      <c r="AJ337" s="1"/>
      <c r="AK337" s="1"/>
      <c r="AL337" s="1"/>
      <c r="AM337" s="1"/>
      <c r="AN337" s="1"/>
      <c r="AO337" s="1"/>
      <c r="AP337" s="1"/>
      <c r="AQ337" s="1"/>
      <c r="AR337" s="1"/>
      <c r="AS337" s="1" t="s">
        <v>479</v>
      </c>
      <c r="AT337" s="1" t="s">
        <v>480</v>
      </c>
      <c r="AU337" s="1">
        <v>0.6</v>
      </c>
      <c r="AV337" s="1">
        <v>440</v>
      </c>
      <c r="AW337" s="1">
        <v>103000</v>
      </c>
      <c r="AX337" s="1">
        <v>30800</v>
      </c>
      <c r="AY337" s="1">
        <v>101080</v>
      </c>
      <c r="AZ337" s="1">
        <v>0.4</v>
      </c>
      <c r="BA337" s="1">
        <v>4</v>
      </c>
      <c r="BB337" s="1">
        <v>159000</v>
      </c>
      <c r="BC337" s="1">
        <v>187880</v>
      </c>
      <c r="BD337" s="1">
        <v>10430</v>
      </c>
      <c r="BE337" s="1">
        <v>78</v>
      </c>
      <c r="BF337" s="1">
        <v>46</v>
      </c>
      <c r="BG337" s="1">
        <v>0.14000000000000001</v>
      </c>
      <c r="BH337" s="1" t="s">
        <v>481</v>
      </c>
      <c r="BI337" s="1"/>
      <c r="BJ337" s="1">
        <v>25270</v>
      </c>
      <c r="BK337" s="1"/>
    </row>
    <row r="338" spans="1:63" ht="16" thickBot="1" x14ac:dyDescent="0.25">
      <c r="A338" s="3">
        <v>338</v>
      </c>
      <c r="B338" s="3" t="s">
        <v>477</v>
      </c>
      <c r="C338" s="3" t="s">
        <v>543</v>
      </c>
      <c r="D338" s="1" t="s">
        <v>478</v>
      </c>
      <c r="E338" s="1"/>
      <c r="F338" s="1"/>
      <c r="G338" s="1" t="s">
        <v>102</v>
      </c>
      <c r="H338" s="1" t="s">
        <v>114</v>
      </c>
      <c r="I338" s="1"/>
      <c r="J338" s="113">
        <f>Table4[[#This Row],[total_cost_npr]]*(1/'Calculations &amp; Assumptions'!$C$6)</f>
        <v>196030.79291762892</v>
      </c>
      <c r="K338" s="113">
        <f>Table4[[#This Row],[system_cost_npr_per_kwp]]*(1/'Calculations &amp; Assumptions'!$C$6)</f>
        <v>2513.2152938157556</v>
      </c>
      <c r="L338" s="23">
        <f>IF(Table4[[#This Row],[total_cost_inr]]&gt;0, Table4[[#This Row],[total_cost_inr]]*'Calculations &amp; Assumptions'!$C$7,IF(Table4[[#This Row],[total_cost_eur]]&gt;0,Table4[[#This Row],[total_cost_eur]]*'Calculations &amp; Assumptions'!$C$5,0))</f>
        <v>25464400</v>
      </c>
      <c r="M338" s="77">
        <f>IF(H338="smartmeter_1ph",Table4[[#This Row],[total_cost_npr]],Table4[[#This Row],[total_cost_npr]]/Table4[[#This Row],[pv_kWp]])</f>
        <v>326466.66666666669</v>
      </c>
      <c r="N338" s="1"/>
      <c r="O338" s="90">
        <f>Table4[[#This Row],[total_cost_inr]]/Table4[[#This Row],[pv_kWp]]</f>
        <v>0</v>
      </c>
      <c r="P338" s="1">
        <v>195880</v>
      </c>
      <c r="Q338" s="3">
        <f>Table4[[#This Row],[total_cost_eur]]/Table4[[#This Row],[pv_kWp]]</f>
        <v>2511.2820512820513</v>
      </c>
      <c r="R338" s="1"/>
      <c r="S338" s="1"/>
      <c r="T338" s="1">
        <v>78</v>
      </c>
      <c r="U338" s="1"/>
      <c r="V338" s="1"/>
      <c r="W338" s="1"/>
      <c r="X338" s="1"/>
      <c r="Y338" s="1"/>
      <c r="Z338" s="1"/>
      <c r="AA338" s="1"/>
      <c r="AB338" s="1"/>
      <c r="AC338" s="1"/>
      <c r="AD338" s="1">
        <v>68</v>
      </c>
      <c r="AE338" s="1"/>
      <c r="AF338" s="1"/>
      <c r="AG338" s="1"/>
      <c r="AH338" s="6"/>
      <c r="AI338" s="1"/>
      <c r="AJ338" s="1"/>
      <c r="AK338" s="1"/>
      <c r="AL338" s="1"/>
      <c r="AM338" s="1"/>
      <c r="AN338" s="1"/>
      <c r="AO338" s="1"/>
      <c r="AP338" s="1"/>
      <c r="AQ338" s="1"/>
      <c r="AR338" s="1"/>
      <c r="AS338" s="1" t="s">
        <v>479</v>
      </c>
      <c r="AT338" s="1" t="s">
        <v>480</v>
      </c>
      <c r="AU338" s="1">
        <v>0.65</v>
      </c>
      <c r="AV338" s="1">
        <v>440</v>
      </c>
      <c r="AW338" s="1">
        <v>103000</v>
      </c>
      <c r="AX338" s="1">
        <v>30800</v>
      </c>
      <c r="AY338" s="1">
        <v>101080</v>
      </c>
      <c r="AZ338" s="1">
        <v>0.4</v>
      </c>
      <c r="BA338" s="1">
        <v>4</v>
      </c>
      <c r="BB338" s="1">
        <v>167000</v>
      </c>
      <c r="BC338" s="1">
        <v>195880</v>
      </c>
      <c r="BD338" s="1">
        <v>9164</v>
      </c>
      <c r="BE338" s="1">
        <v>78</v>
      </c>
      <c r="BF338" s="1">
        <v>68</v>
      </c>
      <c r="BG338" s="1">
        <v>0.14000000000000001</v>
      </c>
      <c r="BH338" s="1" t="s">
        <v>481</v>
      </c>
      <c r="BI338" s="1"/>
      <c r="BJ338" s="1">
        <v>25270</v>
      </c>
      <c r="BK338" s="1"/>
    </row>
    <row r="339" spans="1:63" ht="16" thickBot="1" x14ac:dyDescent="0.25">
      <c r="A339" s="3">
        <v>339</v>
      </c>
      <c r="B339" s="3" t="s">
        <v>477</v>
      </c>
      <c r="C339" s="3" t="s">
        <v>543</v>
      </c>
      <c r="D339" s="1" t="s">
        <v>478</v>
      </c>
      <c r="E339" s="1"/>
      <c r="F339" s="1"/>
      <c r="G339" s="1" t="s">
        <v>102</v>
      </c>
      <c r="H339" s="1" t="s">
        <v>114</v>
      </c>
      <c r="I339" s="1"/>
      <c r="J339" s="113">
        <f>Table4[[#This Row],[total_cost_npr]]*(1/'Calculations &amp; Assumptions'!$C$6)</f>
        <v>205037.72132409544</v>
      </c>
      <c r="K339" s="113">
        <f>Table4[[#This Row],[system_cost_npr_per_kwp]]*(1/'Calculations &amp; Assumptions'!$C$6)</f>
        <v>2303.7946216190498</v>
      </c>
      <c r="L339" s="23">
        <f>IF(Table4[[#This Row],[total_cost_inr]]&gt;0, Table4[[#This Row],[total_cost_inr]]*'Calculations &amp; Assumptions'!$C$7,IF(Table4[[#This Row],[total_cost_eur]]&gt;0,Table4[[#This Row],[total_cost_eur]]*'Calculations &amp; Assumptions'!$C$5,0))</f>
        <v>26634400</v>
      </c>
      <c r="M339" s="77">
        <f>IF(H339="smartmeter_1ph",Table4[[#This Row],[total_cost_npr]],Table4[[#This Row],[total_cost_npr]]/Table4[[#This Row],[pv_kWp]])</f>
        <v>299262.92134831462</v>
      </c>
      <c r="N339" s="1"/>
      <c r="O339" s="90">
        <f>Table4[[#This Row],[total_cost_inr]]/Table4[[#This Row],[pv_kWp]]</f>
        <v>0</v>
      </c>
      <c r="P339" s="1">
        <v>204880</v>
      </c>
      <c r="Q339" s="3">
        <f>Table4[[#This Row],[total_cost_eur]]/Table4[[#This Row],[pv_kWp]]</f>
        <v>2302.0224719101125</v>
      </c>
      <c r="R339" s="1"/>
      <c r="S339" s="1"/>
      <c r="T339" s="1">
        <v>89</v>
      </c>
      <c r="U339" s="1"/>
      <c r="V339" s="1"/>
      <c r="W339" s="1"/>
      <c r="X339" s="1"/>
      <c r="Y339" s="1"/>
      <c r="Z339" s="1"/>
      <c r="AA339" s="1"/>
      <c r="AB339" s="1"/>
      <c r="AC339" s="1"/>
      <c r="AD339" s="1">
        <v>80</v>
      </c>
      <c r="AE339" s="1"/>
      <c r="AF339" s="1"/>
      <c r="AG339" s="1"/>
      <c r="AH339" s="6"/>
      <c r="AI339" s="1"/>
      <c r="AJ339" s="1"/>
      <c r="AK339" s="1"/>
      <c r="AL339" s="1"/>
      <c r="AM339" s="1"/>
      <c r="AN339" s="1"/>
      <c r="AO339" s="1"/>
      <c r="AP339" s="1"/>
      <c r="AQ339" s="1"/>
      <c r="AR339" s="1"/>
      <c r="AS339" s="1" t="s">
        <v>479</v>
      </c>
      <c r="AT339" s="1" t="s">
        <v>480</v>
      </c>
      <c r="AU339" s="1">
        <v>0.7</v>
      </c>
      <c r="AV339" s="1">
        <v>440</v>
      </c>
      <c r="AW339" s="1">
        <v>103000</v>
      </c>
      <c r="AX339" s="1">
        <v>30800</v>
      </c>
      <c r="AY339" s="1">
        <v>101080</v>
      </c>
      <c r="AZ339" s="1">
        <v>0.4</v>
      </c>
      <c r="BA339" s="1">
        <v>4</v>
      </c>
      <c r="BB339" s="1">
        <v>176000</v>
      </c>
      <c r="BC339" s="1">
        <v>204880</v>
      </c>
      <c r="BD339" s="1">
        <v>7867</v>
      </c>
      <c r="BE339" s="1">
        <v>89</v>
      </c>
      <c r="BF339" s="1">
        <v>80</v>
      </c>
      <c r="BG339" s="1">
        <v>0.14000000000000001</v>
      </c>
      <c r="BH339" s="1" t="s">
        <v>481</v>
      </c>
      <c r="BI339" s="1"/>
      <c r="BJ339" s="1">
        <v>25270</v>
      </c>
      <c r="BK339" s="1"/>
    </row>
    <row r="340" spans="1:63" ht="16" thickBot="1" x14ac:dyDescent="0.25">
      <c r="A340" s="3">
        <v>340</v>
      </c>
      <c r="B340" s="3" t="s">
        <v>477</v>
      </c>
      <c r="C340" s="3" t="s">
        <v>543</v>
      </c>
      <c r="D340" s="1" t="s">
        <v>478</v>
      </c>
      <c r="E340" s="1"/>
      <c r="F340" s="1"/>
      <c r="G340" s="1" t="s">
        <v>102</v>
      </c>
      <c r="H340" s="1" t="s">
        <v>114</v>
      </c>
      <c r="I340" s="1"/>
      <c r="J340" s="113">
        <f>Table4[[#This Row],[total_cost_npr]]*(1/'Calculations &amp; Assumptions'!$C$6)</f>
        <v>215045.41955350267</v>
      </c>
      <c r="K340" s="113">
        <f>Table4[[#This Row],[system_cost_npr_per_kwp]]*(1/'Calculations &amp; Assumptions'!$C$6)</f>
        <v>2263.6359953000283</v>
      </c>
      <c r="L340" s="23">
        <f>IF(Table4[[#This Row],[total_cost_inr]]&gt;0, Table4[[#This Row],[total_cost_inr]]*'Calculations &amp; Assumptions'!$C$7,IF(Table4[[#This Row],[total_cost_eur]]&gt;0,Table4[[#This Row],[total_cost_eur]]*'Calculations &amp; Assumptions'!$C$5,0))</f>
        <v>27934400</v>
      </c>
      <c r="M340" s="77">
        <f>IF(H340="smartmeter_1ph",Table4[[#This Row],[total_cost_npr]],Table4[[#This Row],[total_cost_npr]]/Table4[[#This Row],[pv_kWp]])</f>
        <v>294046.31578947371</v>
      </c>
      <c r="N340" s="1"/>
      <c r="O340" s="90">
        <f>Table4[[#This Row],[total_cost_inr]]/Table4[[#This Row],[pv_kWp]]</f>
        <v>0</v>
      </c>
      <c r="P340" s="1">
        <v>214880</v>
      </c>
      <c r="Q340" s="3">
        <f>Table4[[#This Row],[total_cost_eur]]/Table4[[#This Row],[pv_kWp]]</f>
        <v>2261.8947368421054</v>
      </c>
      <c r="R340" s="1"/>
      <c r="S340" s="1"/>
      <c r="T340" s="1">
        <v>95</v>
      </c>
      <c r="U340" s="1"/>
      <c r="V340" s="1"/>
      <c r="W340" s="1"/>
      <c r="X340" s="1"/>
      <c r="Y340" s="1"/>
      <c r="Z340" s="1"/>
      <c r="AA340" s="1"/>
      <c r="AB340" s="1"/>
      <c r="AC340" s="1"/>
      <c r="AD340" s="1">
        <v>99</v>
      </c>
      <c r="AE340" s="1"/>
      <c r="AF340" s="1"/>
      <c r="AG340" s="1"/>
      <c r="AH340" s="6"/>
      <c r="AI340" s="1"/>
      <c r="AJ340" s="1"/>
      <c r="AK340" s="1"/>
      <c r="AL340" s="1"/>
      <c r="AM340" s="1"/>
      <c r="AN340" s="1"/>
      <c r="AO340" s="1"/>
      <c r="AP340" s="1"/>
      <c r="AQ340" s="1"/>
      <c r="AR340" s="1"/>
      <c r="AS340" s="1" t="s">
        <v>479</v>
      </c>
      <c r="AT340" s="1" t="s">
        <v>480</v>
      </c>
      <c r="AU340" s="1">
        <v>0.75</v>
      </c>
      <c r="AV340" s="1">
        <v>440</v>
      </c>
      <c r="AW340" s="1">
        <v>103000</v>
      </c>
      <c r="AX340" s="1">
        <v>30800</v>
      </c>
      <c r="AY340" s="1">
        <v>101080</v>
      </c>
      <c r="AZ340" s="1">
        <v>0.4</v>
      </c>
      <c r="BA340" s="1">
        <v>4</v>
      </c>
      <c r="BB340" s="1">
        <v>186000</v>
      </c>
      <c r="BC340" s="1">
        <v>214880</v>
      </c>
      <c r="BD340" s="1">
        <v>6519</v>
      </c>
      <c r="BE340" s="1">
        <v>95</v>
      </c>
      <c r="BF340" s="1">
        <v>99</v>
      </c>
      <c r="BG340" s="1">
        <v>0.14000000000000001</v>
      </c>
      <c r="BH340" s="1" t="s">
        <v>481</v>
      </c>
      <c r="BI340" s="1"/>
      <c r="BJ340" s="1">
        <v>25270</v>
      </c>
      <c r="BK340" s="1"/>
    </row>
    <row r="341" spans="1:63" ht="16" thickBot="1" x14ac:dyDescent="0.25">
      <c r="A341" s="3">
        <v>341</v>
      </c>
      <c r="B341" s="3" t="s">
        <v>477</v>
      </c>
      <c r="C341" s="3" t="s">
        <v>543</v>
      </c>
      <c r="D341" s="1" t="s">
        <v>478</v>
      </c>
      <c r="E341" s="1"/>
      <c r="F341" s="1"/>
      <c r="G341" s="1" t="s">
        <v>102</v>
      </c>
      <c r="H341" s="1" t="s">
        <v>114</v>
      </c>
      <c r="I341" s="1"/>
      <c r="J341" s="113">
        <f>Table4[[#This Row],[total_cost_npr]]*(1/'Calculations &amp; Assumptions'!$C$6)</f>
        <v>225053.11778290992</v>
      </c>
      <c r="K341" s="113">
        <f>Table4[[#This Row],[system_cost_npr_per_kwp]]*(1/'Calculations &amp; Assumptions'!$C$6)</f>
        <v>2206.4031155187245</v>
      </c>
      <c r="L341" s="23">
        <f>IF(Table4[[#This Row],[total_cost_inr]]&gt;0, Table4[[#This Row],[total_cost_inr]]*'Calculations &amp; Assumptions'!$C$7,IF(Table4[[#This Row],[total_cost_eur]]&gt;0,Table4[[#This Row],[total_cost_eur]]*'Calculations &amp; Assumptions'!$C$5,0))</f>
        <v>29234400</v>
      </c>
      <c r="M341" s="77">
        <f>IF(H341="smartmeter_1ph",Table4[[#This Row],[total_cost_npr]],Table4[[#This Row],[total_cost_npr]]/Table4[[#This Row],[pv_kWp]])</f>
        <v>286611.76470588235</v>
      </c>
      <c r="N341" s="1"/>
      <c r="O341" s="90">
        <f>Table4[[#This Row],[total_cost_inr]]/Table4[[#This Row],[pv_kWp]]</f>
        <v>0</v>
      </c>
      <c r="P341" s="1">
        <v>224880</v>
      </c>
      <c r="Q341" s="3">
        <f>Table4[[#This Row],[total_cost_eur]]/Table4[[#This Row],[pv_kWp]]</f>
        <v>2204.705882352941</v>
      </c>
      <c r="R341" s="1"/>
      <c r="S341" s="1"/>
      <c r="T341" s="1">
        <v>102</v>
      </c>
      <c r="U341" s="1"/>
      <c r="V341" s="1"/>
      <c r="W341" s="1"/>
      <c r="X341" s="1"/>
      <c r="Y341" s="1"/>
      <c r="Z341" s="1"/>
      <c r="AA341" s="1"/>
      <c r="AB341" s="1"/>
      <c r="AC341" s="1"/>
      <c r="AD341" s="1">
        <v>113</v>
      </c>
      <c r="AE341" s="1"/>
      <c r="AF341" s="1"/>
      <c r="AG341" s="1"/>
      <c r="AH341" s="6"/>
      <c r="AI341" s="1"/>
      <c r="AJ341" s="1"/>
      <c r="AK341" s="1"/>
      <c r="AL341" s="1"/>
      <c r="AM341" s="1"/>
      <c r="AN341" s="1"/>
      <c r="AO341" s="1"/>
      <c r="AP341" s="1"/>
      <c r="AQ341" s="1"/>
      <c r="AR341" s="1"/>
      <c r="AS341" s="1" t="s">
        <v>479</v>
      </c>
      <c r="AT341" s="1" t="s">
        <v>480</v>
      </c>
      <c r="AU341" s="1">
        <v>0.8</v>
      </c>
      <c r="AV341" s="1">
        <v>440</v>
      </c>
      <c r="AW341" s="1">
        <v>103000</v>
      </c>
      <c r="AX341" s="1">
        <v>30800</v>
      </c>
      <c r="AY341" s="1">
        <v>101080</v>
      </c>
      <c r="AZ341" s="1">
        <v>0.4</v>
      </c>
      <c r="BA341" s="1">
        <v>4</v>
      </c>
      <c r="BB341" s="1">
        <v>196000</v>
      </c>
      <c r="BC341" s="1">
        <v>224880</v>
      </c>
      <c r="BD341" s="1">
        <v>5264</v>
      </c>
      <c r="BE341" s="1">
        <v>102</v>
      </c>
      <c r="BF341" s="1">
        <v>113</v>
      </c>
      <c r="BG341" s="1">
        <v>0.14000000000000001</v>
      </c>
      <c r="BH341" s="1" t="s">
        <v>481</v>
      </c>
      <c r="BI341" s="1"/>
      <c r="BJ341" s="1">
        <v>25270</v>
      </c>
      <c r="BK341" s="1"/>
    </row>
    <row r="342" spans="1:63" ht="16" thickBot="1" x14ac:dyDescent="0.25">
      <c r="A342" s="3">
        <v>342</v>
      </c>
      <c r="B342" s="3" t="s">
        <v>477</v>
      </c>
      <c r="C342" s="3" t="s">
        <v>543</v>
      </c>
      <c r="D342" s="1" t="s">
        <v>478</v>
      </c>
      <c r="E342" s="1"/>
      <c r="F342" s="1"/>
      <c r="G342" s="1" t="s">
        <v>102</v>
      </c>
      <c r="H342" s="1" t="s">
        <v>114</v>
      </c>
      <c r="I342" s="1"/>
      <c r="J342" s="113">
        <f>Table4[[#This Row],[total_cost_npr]]*(1/'Calculations &amp; Assumptions'!$C$6)</f>
        <v>235060.81601231714</v>
      </c>
      <c r="K342" s="113">
        <f>Table4[[#This Row],[system_cost_npr_per_kwp]]*(1/'Calculations &amp; Assumptions'!$C$6)</f>
        <v>2117.665009119974</v>
      </c>
      <c r="L342" s="23">
        <f>IF(Table4[[#This Row],[total_cost_inr]]&gt;0, Table4[[#This Row],[total_cost_inr]]*'Calculations &amp; Assumptions'!$C$7,IF(Table4[[#This Row],[total_cost_eur]]&gt;0,Table4[[#This Row],[total_cost_eur]]*'Calculations &amp; Assumptions'!$C$5,0))</f>
        <v>30534400</v>
      </c>
      <c r="M342" s="77">
        <f>IF(H342="smartmeter_1ph",Table4[[#This Row],[total_cost_npr]],Table4[[#This Row],[total_cost_npr]]/Table4[[#This Row],[pv_kWp]])</f>
        <v>275084.68468468467</v>
      </c>
      <c r="N342" s="1"/>
      <c r="O342" s="90">
        <f>Table4[[#This Row],[total_cost_inr]]/Table4[[#This Row],[pv_kWp]]</f>
        <v>0</v>
      </c>
      <c r="P342" s="1">
        <v>234880</v>
      </c>
      <c r="Q342" s="3">
        <f>Table4[[#This Row],[total_cost_eur]]/Table4[[#This Row],[pv_kWp]]</f>
        <v>2116.036036036036</v>
      </c>
      <c r="R342" s="1"/>
      <c r="S342" s="1"/>
      <c r="T342" s="1">
        <v>111</v>
      </c>
      <c r="U342" s="1"/>
      <c r="V342" s="1"/>
      <c r="W342" s="1"/>
      <c r="X342" s="1"/>
      <c r="Y342" s="1"/>
      <c r="Z342" s="1"/>
      <c r="AA342" s="1"/>
      <c r="AB342" s="1"/>
      <c r="AC342" s="1"/>
      <c r="AD342" s="1">
        <v>131</v>
      </c>
      <c r="AE342" s="1"/>
      <c r="AF342" s="1"/>
      <c r="AG342" s="1"/>
      <c r="AH342" s="6"/>
      <c r="AI342" s="1"/>
      <c r="AJ342" s="1"/>
      <c r="AK342" s="1"/>
      <c r="AL342" s="1"/>
      <c r="AM342" s="1"/>
      <c r="AN342" s="1"/>
      <c r="AO342" s="1"/>
      <c r="AP342" s="1"/>
      <c r="AQ342" s="1"/>
      <c r="AR342" s="1"/>
      <c r="AS342" s="1" t="s">
        <v>479</v>
      </c>
      <c r="AT342" s="1" t="s">
        <v>480</v>
      </c>
      <c r="AU342" s="1">
        <v>0.85</v>
      </c>
      <c r="AV342" s="1">
        <v>440</v>
      </c>
      <c r="AW342" s="1">
        <v>103000</v>
      </c>
      <c r="AX342" s="1">
        <v>30800</v>
      </c>
      <c r="AY342" s="1">
        <v>101080</v>
      </c>
      <c r="AZ342" s="1">
        <v>0.4</v>
      </c>
      <c r="BA342" s="1">
        <v>4</v>
      </c>
      <c r="BB342" s="1">
        <v>206000</v>
      </c>
      <c r="BC342" s="1">
        <v>234880</v>
      </c>
      <c r="BD342" s="1">
        <v>3965</v>
      </c>
      <c r="BE342" s="1">
        <v>111</v>
      </c>
      <c r="BF342" s="1">
        <v>131</v>
      </c>
      <c r="BG342" s="1">
        <v>0.14000000000000001</v>
      </c>
      <c r="BH342" s="1" t="s">
        <v>481</v>
      </c>
      <c r="BI342" s="1"/>
      <c r="BJ342" s="1">
        <v>25270</v>
      </c>
      <c r="BK342" s="1"/>
    </row>
    <row r="343" spans="1:63" ht="16" thickBot="1" x14ac:dyDescent="0.25">
      <c r="A343" s="3">
        <v>343</v>
      </c>
      <c r="B343" s="3" t="s">
        <v>477</v>
      </c>
      <c r="C343" s="3" t="s">
        <v>543</v>
      </c>
      <c r="D343" s="1" t="s">
        <v>478</v>
      </c>
      <c r="E343" s="1"/>
      <c r="F343" s="1"/>
      <c r="G343" s="1" t="s">
        <v>102</v>
      </c>
      <c r="H343" s="1" t="s">
        <v>114</v>
      </c>
      <c r="I343" s="1"/>
      <c r="J343" s="113">
        <f>Table4[[#This Row],[total_cost_npr]]*(1/'Calculations &amp; Assumptions'!$C$6)</f>
        <v>249071.59353348726</v>
      </c>
      <c r="K343" s="113">
        <f>Table4[[#This Row],[system_cost_npr_per_kwp]]*(1/'Calculations &amp; Assumptions'!$C$6)</f>
        <v>1915.935334872979</v>
      </c>
      <c r="L343" s="23">
        <f>IF(Table4[[#This Row],[total_cost_inr]]&gt;0, Table4[[#This Row],[total_cost_inr]]*'Calculations &amp; Assumptions'!$C$7,IF(Table4[[#This Row],[total_cost_eur]]&gt;0,Table4[[#This Row],[total_cost_eur]]*'Calculations &amp; Assumptions'!$C$5,0))</f>
        <v>32354400</v>
      </c>
      <c r="M343" s="77">
        <f>IF(H343="smartmeter_1ph",Table4[[#This Row],[total_cost_npr]],Table4[[#This Row],[total_cost_npr]]/Table4[[#This Row],[pv_kWp]])</f>
        <v>248880</v>
      </c>
      <c r="N343" s="1"/>
      <c r="O343" s="90">
        <f>Table4[[#This Row],[total_cost_inr]]/Table4[[#This Row],[pv_kWp]]</f>
        <v>0</v>
      </c>
      <c r="P343" s="1">
        <v>248880</v>
      </c>
      <c r="Q343" s="3">
        <f>Table4[[#This Row],[total_cost_eur]]/Table4[[#This Row],[pv_kWp]]</f>
        <v>1914.4615384615386</v>
      </c>
      <c r="R343" s="1"/>
      <c r="S343" s="1"/>
      <c r="T343" s="1">
        <v>130</v>
      </c>
      <c r="U343" s="1"/>
      <c r="V343" s="1"/>
      <c r="W343" s="1"/>
      <c r="X343" s="1"/>
      <c r="Y343" s="1"/>
      <c r="Z343" s="1"/>
      <c r="AA343" s="1"/>
      <c r="AB343" s="1"/>
      <c r="AC343" s="1"/>
      <c r="AD343" s="1">
        <v>145</v>
      </c>
      <c r="AE343" s="1"/>
      <c r="AF343" s="1"/>
      <c r="AG343" s="1"/>
      <c r="AH343" s="6"/>
      <c r="AI343" s="1"/>
      <c r="AJ343" s="1"/>
      <c r="AK343" s="1"/>
      <c r="AL343" s="1"/>
      <c r="AM343" s="1"/>
      <c r="AN343" s="1"/>
      <c r="AO343" s="1"/>
      <c r="AP343" s="1"/>
      <c r="AQ343" s="1"/>
      <c r="AR343" s="1"/>
      <c r="AS343" s="1" t="s">
        <v>479</v>
      </c>
      <c r="AT343" s="1" t="s">
        <v>480</v>
      </c>
      <c r="AU343" s="1">
        <v>0.9</v>
      </c>
      <c r="AV343" s="1">
        <v>440</v>
      </c>
      <c r="AW343" s="1">
        <v>103000</v>
      </c>
      <c r="AX343" s="1">
        <v>30800</v>
      </c>
      <c r="AY343" s="1">
        <v>101080</v>
      </c>
      <c r="AZ343" s="1">
        <v>0.4</v>
      </c>
      <c r="BA343" s="1">
        <v>4</v>
      </c>
      <c r="BB343" s="1">
        <v>220000</v>
      </c>
      <c r="BC343" s="1">
        <v>248880</v>
      </c>
      <c r="BD343" s="1">
        <v>2648</v>
      </c>
      <c r="BE343" s="1">
        <v>130</v>
      </c>
      <c r="BF343" s="1">
        <v>145</v>
      </c>
      <c r="BG343" s="1">
        <v>0.14000000000000001</v>
      </c>
      <c r="BH343" s="1" t="s">
        <v>481</v>
      </c>
      <c r="BI343" s="1"/>
      <c r="BJ343" s="1">
        <v>25270</v>
      </c>
      <c r="BK343" s="1"/>
    </row>
    <row r="344" spans="1:63" ht="16" thickBot="1" x14ac:dyDescent="0.25">
      <c r="A344" s="3">
        <v>344</v>
      </c>
      <c r="B344" s="3" t="s">
        <v>477</v>
      </c>
      <c r="C344" s="3" t="s">
        <v>543</v>
      </c>
      <c r="D344" s="1" t="s">
        <v>478</v>
      </c>
      <c r="E344" s="1"/>
      <c r="F344" s="1"/>
      <c r="G344" s="1" t="s">
        <v>102</v>
      </c>
      <c r="H344" s="1" t="s">
        <v>114</v>
      </c>
      <c r="I344" s="1"/>
      <c r="J344" s="113">
        <f>Table4[[#This Row],[total_cost_npr]]*(1/'Calculations &amp; Assumptions'!$C$6)</f>
        <v>229786.35873749031</v>
      </c>
      <c r="K344" s="113">
        <f>Table4[[#This Row],[system_cost_npr_per_kwp]]*(1/'Calculations &amp; Assumptions'!$C$6)</f>
        <v>19148.863228124195</v>
      </c>
      <c r="L344" s="23">
        <f>IF(Table4[[#This Row],[total_cost_inr]]&gt;0, Table4[[#This Row],[total_cost_inr]]*'Calculations &amp; Assumptions'!$C$7,IF(Table4[[#This Row],[total_cost_eur]]&gt;0,Table4[[#This Row],[total_cost_eur]]*'Calculations &amp; Assumptions'!$C$5,0))</f>
        <v>29849247.999999996</v>
      </c>
      <c r="M344" s="77">
        <f>IF(H344="smartmeter_1ph",Table4[[#This Row],[total_cost_npr]],Table4[[#This Row],[total_cost_npr]]/Table4[[#This Row],[pv_kWp]])</f>
        <v>2487437.333333333</v>
      </c>
      <c r="N344" s="1"/>
      <c r="O344" s="90">
        <f>Table4[[#This Row],[total_cost_inr]]/Table4[[#This Row],[pv_kWp]]</f>
        <v>0</v>
      </c>
      <c r="P344" s="1">
        <v>229609.59999999998</v>
      </c>
      <c r="Q344" s="3">
        <f>Table4[[#This Row],[total_cost_eur]]/Table4[[#This Row],[pv_kWp]]</f>
        <v>19134.133333333331</v>
      </c>
      <c r="R344" s="1"/>
      <c r="S344" s="1"/>
      <c r="T344" s="1">
        <v>12</v>
      </c>
      <c r="U344" s="1"/>
      <c r="V344" s="1"/>
      <c r="W344" s="1"/>
      <c r="X344" s="1"/>
      <c r="Y344" s="1"/>
      <c r="Z344" s="1"/>
      <c r="AA344" s="1"/>
      <c r="AB344" s="1"/>
      <c r="AC344" s="1"/>
      <c r="AD344" s="1">
        <v>5</v>
      </c>
      <c r="AE344" s="1"/>
      <c r="AF344" s="1"/>
      <c r="AG344" s="1"/>
      <c r="AH344" s="6"/>
      <c r="AI344" s="1"/>
      <c r="AJ344" s="1"/>
      <c r="AK344" s="1"/>
      <c r="AL344" s="1"/>
      <c r="AM344" s="1"/>
      <c r="AN344" s="1"/>
      <c r="AO344" s="1"/>
      <c r="AP344" s="1"/>
      <c r="AQ344" s="1"/>
      <c r="AR344" s="1"/>
      <c r="AS344" s="1" t="s">
        <v>479</v>
      </c>
      <c r="AT344" s="1" t="s">
        <v>482</v>
      </c>
      <c r="AU344" s="1">
        <v>0.1</v>
      </c>
      <c r="AV344" s="1">
        <v>767</v>
      </c>
      <c r="AW344" s="1">
        <v>195000</v>
      </c>
      <c r="AX344" s="1">
        <v>53690</v>
      </c>
      <c r="AY344" s="1">
        <v>163919.59999999998</v>
      </c>
      <c r="AZ344" s="1">
        <v>0.16</v>
      </c>
      <c r="BA344" s="1">
        <v>8</v>
      </c>
      <c r="BB344" s="1">
        <v>207000</v>
      </c>
      <c r="BC344" s="1">
        <v>229609.59999999998</v>
      </c>
      <c r="BD344" s="1">
        <v>41497</v>
      </c>
      <c r="BE344" s="1">
        <v>12</v>
      </c>
      <c r="BF344" s="1">
        <v>5</v>
      </c>
      <c r="BG344" s="1">
        <v>0.21</v>
      </c>
      <c r="BH344" s="1" t="s">
        <v>483</v>
      </c>
      <c r="BI344" s="1"/>
      <c r="BJ344" s="1">
        <v>20489.949999999997</v>
      </c>
      <c r="BK344" s="1"/>
    </row>
    <row r="345" spans="1:63" ht="16" thickBot="1" x14ac:dyDescent="0.25">
      <c r="A345" s="3">
        <v>345</v>
      </c>
      <c r="B345" s="3" t="s">
        <v>477</v>
      </c>
      <c r="C345" s="3" t="s">
        <v>543</v>
      </c>
      <c r="D345" s="1" t="s">
        <v>478</v>
      </c>
      <c r="E345" s="1"/>
      <c r="F345" s="1"/>
      <c r="G345" s="1" t="s">
        <v>102</v>
      </c>
      <c r="H345" s="1" t="s">
        <v>114</v>
      </c>
      <c r="I345" s="1"/>
      <c r="J345" s="113">
        <f>Table4[[#This Row],[total_cost_npr]]*(1/'Calculations &amp; Assumptions'!$C$6)</f>
        <v>232788.66820631249</v>
      </c>
      <c r="K345" s="113">
        <f>Table4[[#This Row],[system_cost_npr_per_kwp]]*(1/'Calculations &amp; Assumptions'!$C$6)</f>
        <v>12932.703789239584</v>
      </c>
      <c r="L345" s="23">
        <f>IF(Table4[[#This Row],[total_cost_inr]]&gt;0, Table4[[#This Row],[total_cost_inr]]*'Calculations &amp; Assumptions'!$C$7,IF(Table4[[#This Row],[total_cost_eur]]&gt;0,Table4[[#This Row],[total_cost_eur]]*'Calculations &amp; Assumptions'!$C$5,0))</f>
        <v>30239247.999999996</v>
      </c>
      <c r="M345" s="77">
        <f>IF(H345="smartmeter_1ph",Table4[[#This Row],[total_cost_npr]],Table4[[#This Row],[total_cost_npr]]/Table4[[#This Row],[pv_kWp]])</f>
        <v>1679958.222222222</v>
      </c>
      <c r="N345" s="1"/>
      <c r="O345" s="90">
        <f>Table4[[#This Row],[total_cost_inr]]/Table4[[#This Row],[pv_kWp]]</f>
        <v>0</v>
      </c>
      <c r="P345" s="1">
        <v>232609.59999999998</v>
      </c>
      <c r="Q345" s="3">
        <f>Table4[[#This Row],[total_cost_eur]]/Table4[[#This Row],[pv_kWp]]</f>
        <v>12922.755555555554</v>
      </c>
      <c r="R345" s="1"/>
      <c r="S345" s="1"/>
      <c r="T345" s="1">
        <v>18</v>
      </c>
      <c r="U345" s="1"/>
      <c r="V345" s="1"/>
      <c r="W345" s="1"/>
      <c r="X345" s="1"/>
      <c r="Y345" s="1"/>
      <c r="Z345" s="1"/>
      <c r="AA345" s="1"/>
      <c r="AB345" s="1"/>
      <c r="AC345" s="1"/>
      <c r="AD345" s="1">
        <v>5</v>
      </c>
      <c r="AE345" s="1"/>
      <c r="AF345" s="1"/>
      <c r="AG345" s="1"/>
      <c r="AH345" s="6"/>
      <c r="AI345" s="1"/>
      <c r="AJ345" s="1"/>
      <c r="AK345" s="1"/>
      <c r="AL345" s="1"/>
      <c r="AM345" s="1"/>
      <c r="AN345" s="1"/>
      <c r="AO345" s="1"/>
      <c r="AP345" s="1"/>
      <c r="AQ345" s="1"/>
      <c r="AR345" s="1"/>
      <c r="AS345" s="1" t="s">
        <v>479</v>
      </c>
      <c r="AT345" s="1" t="s">
        <v>482</v>
      </c>
      <c r="AU345" s="1">
        <v>0.15</v>
      </c>
      <c r="AV345" s="1">
        <v>767</v>
      </c>
      <c r="AW345" s="1">
        <v>195000</v>
      </c>
      <c r="AX345" s="1">
        <v>53690</v>
      </c>
      <c r="AY345" s="1">
        <v>163919.59999999998</v>
      </c>
      <c r="AZ345" s="1">
        <v>0.16</v>
      </c>
      <c r="BA345" s="1">
        <v>8</v>
      </c>
      <c r="BB345" s="1">
        <v>210000</v>
      </c>
      <c r="BC345" s="1">
        <v>232609.59999999998</v>
      </c>
      <c r="BD345" s="1">
        <v>39387</v>
      </c>
      <c r="BE345" s="1">
        <v>18</v>
      </c>
      <c r="BF345" s="1">
        <v>5</v>
      </c>
      <c r="BG345" s="1">
        <v>0.21</v>
      </c>
      <c r="BH345" s="1" t="s">
        <v>483</v>
      </c>
      <c r="BI345" s="1"/>
      <c r="BJ345" s="1">
        <v>20489.949999999997</v>
      </c>
      <c r="BK345" s="1"/>
    </row>
    <row r="346" spans="1:63" ht="16" thickBot="1" x14ac:dyDescent="0.25">
      <c r="A346" s="3">
        <v>346</v>
      </c>
      <c r="B346" s="3" t="s">
        <v>477</v>
      </c>
      <c r="C346" s="3" t="s">
        <v>543</v>
      </c>
      <c r="D346" s="1" t="s">
        <v>478</v>
      </c>
      <c r="E346" s="1"/>
      <c r="F346" s="1"/>
      <c r="G346" s="1" t="s">
        <v>102</v>
      </c>
      <c r="H346" s="1" t="s">
        <v>114</v>
      </c>
      <c r="I346" s="1"/>
      <c r="J346" s="113">
        <f>Table4[[#This Row],[total_cost_npr]]*(1/'Calculations &amp; Assumptions'!$C$6)</f>
        <v>235790.97767513467</v>
      </c>
      <c r="K346" s="113">
        <f>Table4[[#This Row],[system_cost_npr_per_kwp]]*(1/'Calculations &amp; Assumptions'!$C$6)</f>
        <v>9431.6391070053869</v>
      </c>
      <c r="L346" s="23">
        <f>IF(Table4[[#This Row],[total_cost_inr]]&gt;0, Table4[[#This Row],[total_cost_inr]]*'Calculations &amp; Assumptions'!$C$7,IF(Table4[[#This Row],[total_cost_eur]]&gt;0,Table4[[#This Row],[total_cost_eur]]*'Calculations &amp; Assumptions'!$C$5,0))</f>
        <v>30629247.999999996</v>
      </c>
      <c r="M346" s="77">
        <f>IF(H346="smartmeter_1ph",Table4[[#This Row],[total_cost_npr]],Table4[[#This Row],[total_cost_npr]]/Table4[[#This Row],[pv_kWp]])</f>
        <v>1225169.9199999999</v>
      </c>
      <c r="N346" s="1"/>
      <c r="O346" s="90">
        <f>Table4[[#This Row],[total_cost_inr]]/Table4[[#This Row],[pv_kWp]]</f>
        <v>0</v>
      </c>
      <c r="P346" s="1">
        <v>235609.59999999998</v>
      </c>
      <c r="Q346" s="3">
        <f>Table4[[#This Row],[total_cost_eur]]/Table4[[#This Row],[pv_kWp]]</f>
        <v>9424.3839999999982</v>
      </c>
      <c r="R346" s="1"/>
      <c r="S346" s="1"/>
      <c r="T346" s="1">
        <v>25</v>
      </c>
      <c r="U346" s="1"/>
      <c r="V346" s="1"/>
      <c r="W346" s="1"/>
      <c r="X346" s="1"/>
      <c r="Y346" s="1"/>
      <c r="Z346" s="1"/>
      <c r="AA346" s="1"/>
      <c r="AB346" s="1"/>
      <c r="AC346" s="1"/>
      <c r="AD346" s="1">
        <v>5</v>
      </c>
      <c r="AE346" s="1"/>
      <c r="AF346" s="1"/>
      <c r="AG346" s="1"/>
      <c r="AH346" s="6"/>
      <c r="AI346" s="1"/>
      <c r="AJ346" s="1"/>
      <c r="AK346" s="1"/>
      <c r="AL346" s="1"/>
      <c r="AM346" s="1"/>
      <c r="AN346" s="1"/>
      <c r="AO346" s="1"/>
      <c r="AP346" s="1"/>
      <c r="AQ346" s="1"/>
      <c r="AR346" s="1"/>
      <c r="AS346" s="1" t="s">
        <v>479</v>
      </c>
      <c r="AT346" s="1" t="s">
        <v>482</v>
      </c>
      <c r="AU346" s="1">
        <v>0.2</v>
      </c>
      <c r="AV346" s="1">
        <v>767</v>
      </c>
      <c r="AW346" s="1">
        <v>195000</v>
      </c>
      <c r="AX346" s="1">
        <v>53690</v>
      </c>
      <c r="AY346" s="1">
        <v>163919.59999999998</v>
      </c>
      <c r="AZ346" s="1">
        <v>0.16</v>
      </c>
      <c r="BA346" s="1">
        <v>8</v>
      </c>
      <c r="BB346" s="1">
        <v>213000</v>
      </c>
      <c r="BC346" s="1">
        <v>235609.59999999998</v>
      </c>
      <c r="BD346" s="1">
        <v>37434</v>
      </c>
      <c r="BE346" s="1">
        <v>25</v>
      </c>
      <c r="BF346" s="1">
        <v>5</v>
      </c>
      <c r="BG346" s="1">
        <v>0.21</v>
      </c>
      <c r="BH346" s="1" t="s">
        <v>483</v>
      </c>
      <c r="BI346" s="1"/>
      <c r="BJ346" s="1">
        <v>20489.949999999997</v>
      </c>
      <c r="BK346" s="1"/>
    </row>
    <row r="347" spans="1:63" ht="16" thickBot="1" x14ac:dyDescent="0.25">
      <c r="A347" s="3">
        <v>347</v>
      </c>
      <c r="B347" s="3" t="s">
        <v>477</v>
      </c>
      <c r="C347" s="3" t="s">
        <v>543</v>
      </c>
      <c r="D347" s="1" t="s">
        <v>478</v>
      </c>
      <c r="E347" s="1"/>
      <c r="F347" s="1"/>
      <c r="G347" s="1" t="s">
        <v>102</v>
      </c>
      <c r="H347" s="1" t="s">
        <v>114</v>
      </c>
      <c r="I347" s="1"/>
      <c r="J347" s="113">
        <f>Table4[[#This Row],[total_cost_npr]]*(1/'Calculations &amp; Assumptions'!$C$6)</f>
        <v>256807.14395688986</v>
      </c>
      <c r="K347" s="113">
        <f>Table4[[#This Row],[system_cost_npr_per_kwp]]*(1/'Calculations &amp; Assumptions'!$C$6)</f>
        <v>3950.8791377983057</v>
      </c>
      <c r="L347" s="23">
        <f>IF(Table4[[#This Row],[total_cost_inr]]&gt;0, Table4[[#This Row],[total_cost_inr]]*'Calculations &amp; Assumptions'!$C$7,IF(Table4[[#This Row],[total_cost_eur]]&gt;0,Table4[[#This Row],[total_cost_eur]]*'Calculations &amp; Assumptions'!$C$5,0))</f>
        <v>33359247.999999996</v>
      </c>
      <c r="M347" s="77">
        <f>IF(H347="smartmeter_1ph",Table4[[#This Row],[total_cost_npr]],Table4[[#This Row],[total_cost_npr]]/Table4[[#This Row],[pv_kWp]])</f>
        <v>513219.19999999995</v>
      </c>
      <c r="N347" s="1"/>
      <c r="O347" s="90">
        <f>Table4[[#This Row],[total_cost_inr]]/Table4[[#This Row],[pv_kWp]]</f>
        <v>0</v>
      </c>
      <c r="P347" s="1">
        <v>256609.59999999998</v>
      </c>
      <c r="Q347" s="3">
        <f>Table4[[#This Row],[total_cost_eur]]/Table4[[#This Row],[pv_kWp]]</f>
        <v>3947.8399999999997</v>
      </c>
      <c r="R347" s="1"/>
      <c r="S347" s="1"/>
      <c r="T347" s="1">
        <v>65</v>
      </c>
      <c r="U347" s="1"/>
      <c r="V347" s="1"/>
      <c r="W347" s="1"/>
      <c r="X347" s="1"/>
      <c r="Y347" s="1"/>
      <c r="Z347" s="1"/>
      <c r="AA347" s="1"/>
      <c r="AB347" s="1"/>
      <c r="AC347" s="1"/>
      <c r="AD347" s="1">
        <v>12</v>
      </c>
      <c r="AE347" s="1"/>
      <c r="AF347" s="1"/>
      <c r="AG347" s="1"/>
      <c r="AH347" s="6"/>
      <c r="AI347" s="1"/>
      <c r="AJ347" s="1"/>
      <c r="AK347" s="1"/>
      <c r="AL347" s="1"/>
      <c r="AM347" s="1"/>
      <c r="AN347" s="1"/>
      <c r="AO347" s="1"/>
      <c r="AP347" s="1"/>
      <c r="AQ347" s="1"/>
      <c r="AR347" s="1"/>
      <c r="AS347" s="1" t="s">
        <v>479</v>
      </c>
      <c r="AT347" s="1" t="s">
        <v>482</v>
      </c>
      <c r="AU347" s="1">
        <v>0.35</v>
      </c>
      <c r="AV347" s="1">
        <v>767</v>
      </c>
      <c r="AW347" s="1">
        <v>195000</v>
      </c>
      <c r="AX347" s="1">
        <v>53690</v>
      </c>
      <c r="AY347" s="1">
        <v>163919.59999999998</v>
      </c>
      <c r="AZ347" s="1">
        <v>0.16</v>
      </c>
      <c r="BA347" s="1">
        <v>8</v>
      </c>
      <c r="BB347" s="1">
        <v>234000</v>
      </c>
      <c r="BC347" s="1">
        <v>256609.59999999998</v>
      </c>
      <c r="BD347" s="1">
        <v>31562</v>
      </c>
      <c r="BE347" s="1">
        <v>65</v>
      </c>
      <c r="BF347" s="1">
        <v>12</v>
      </c>
      <c r="BG347" s="1">
        <v>0.21</v>
      </c>
      <c r="BH347" s="1" t="s">
        <v>483</v>
      </c>
      <c r="BI347" s="1"/>
      <c r="BJ347" s="1">
        <v>20489.949999999997</v>
      </c>
      <c r="BK347" s="1"/>
    </row>
    <row r="348" spans="1:63" ht="16" thickBot="1" x14ac:dyDescent="0.25">
      <c r="A348" s="3">
        <v>348</v>
      </c>
      <c r="B348" s="3" t="s">
        <v>477</v>
      </c>
      <c r="C348" s="3" t="s">
        <v>543</v>
      </c>
      <c r="D348" s="1" t="s">
        <v>478</v>
      </c>
      <c r="E348" s="1"/>
      <c r="F348" s="1"/>
      <c r="G348" s="1" t="s">
        <v>102</v>
      </c>
      <c r="H348" s="1" t="s">
        <v>114</v>
      </c>
      <c r="I348" s="1"/>
      <c r="J348" s="113">
        <f>Table4[[#This Row],[total_cost_npr]]*(1/'Calculations &amp; Assumptions'!$C$6)</f>
        <v>245798.67590454192</v>
      </c>
      <c r="K348" s="113">
        <f>Table4[[#This Row],[system_cost_npr_per_kwp]]*(1/'Calculations &amp; Assumptions'!$C$6)</f>
        <v>4915.9735180908383</v>
      </c>
      <c r="L348" s="23">
        <f>IF(Table4[[#This Row],[total_cost_inr]]&gt;0, Table4[[#This Row],[total_cost_inr]]*'Calculations &amp; Assumptions'!$C$7,IF(Table4[[#This Row],[total_cost_eur]]&gt;0,Table4[[#This Row],[total_cost_eur]]*'Calculations &amp; Assumptions'!$C$5,0))</f>
        <v>31929247.999999996</v>
      </c>
      <c r="M348" s="77">
        <f>IF(H348="smartmeter_1ph",Table4[[#This Row],[total_cost_npr]],Table4[[#This Row],[total_cost_npr]]/Table4[[#This Row],[pv_kWp]])</f>
        <v>638584.96</v>
      </c>
      <c r="N348" s="1"/>
      <c r="O348" s="90">
        <f>Table4[[#This Row],[total_cost_inr]]/Table4[[#This Row],[pv_kWp]]</f>
        <v>0</v>
      </c>
      <c r="P348" s="1">
        <v>245609.59999999998</v>
      </c>
      <c r="Q348" s="3">
        <f>Table4[[#This Row],[total_cost_eur]]/Table4[[#This Row],[pv_kWp]]</f>
        <v>4912.1919999999991</v>
      </c>
      <c r="R348" s="1"/>
      <c r="S348" s="1"/>
      <c r="T348" s="1">
        <v>50</v>
      </c>
      <c r="U348" s="1"/>
      <c r="V348" s="1"/>
      <c r="W348" s="1"/>
      <c r="X348" s="1"/>
      <c r="Y348" s="1"/>
      <c r="Z348" s="1"/>
      <c r="AA348" s="1"/>
      <c r="AB348" s="1"/>
      <c r="AC348" s="1"/>
      <c r="AD348" s="1">
        <v>8</v>
      </c>
      <c r="AE348" s="1"/>
      <c r="AF348" s="1"/>
      <c r="AG348" s="1"/>
      <c r="AH348" s="6"/>
      <c r="AI348" s="1"/>
      <c r="AJ348" s="1"/>
      <c r="AK348" s="1"/>
      <c r="AL348" s="1"/>
      <c r="AM348" s="1"/>
      <c r="AN348" s="1"/>
      <c r="AO348" s="1"/>
      <c r="AP348" s="1"/>
      <c r="AQ348" s="1"/>
      <c r="AR348" s="1"/>
      <c r="AS348" s="1" t="s">
        <v>479</v>
      </c>
      <c r="AT348" s="1" t="s">
        <v>482</v>
      </c>
      <c r="AU348" s="1">
        <v>0.3</v>
      </c>
      <c r="AV348" s="1">
        <v>767</v>
      </c>
      <c r="AW348" s="1">
        <v>195000</v>
      </c>
      <c r="AX348" s="1">
        <v>53690</v>
      </c>
      <c r="AY348" s="1">
        <v>163919.59999999998</v>
      </c>
      <c r="AZ348" s="1">
        <v>0.16</v>
      </c>
      <c r="BA348" s="1">
        <v>8</v>
      </c>
      <c r="BB348" s="1">
        <v>223000</v>
      </c>
      <c r="BC348" s="1">
        <v>245609.59999999998</v>
      </c>
      <c r="BD348" s="1">
        <v>33864</v>
      </c>
      <c r="BE348" s="1">
        <v>50</v>
      </c>
      <c r="BF348" s="1">
        <v>8</v>
      </c>
      <c r="BG348" s="1">
        <v>0.21</v>
      </c>
      <c r="BH348" s="1" t="s">
        <v>483</v>
      </c>
      <c r="BI348" s="1"/>
      <c r="BJ348" s="1">
        <v>20489.949999999997</v>
      </c>
      <c r="BK348" s="1"/>
    </row>
    <row r="349" spans="1:63" ht="16" thickBot="1" x14ac:dyDescent="0.25">
      <c r="A349" s="3">
        <v>349</v>
      </c>
      <c r="B349" s="3" t="s">
        <v>477</v>
      </c>
      <c r="C349" s="3" t="s">
        <v>543</v>
      </c>
      <c r="D349" s="1" t="s">
        <v>478</v>
      </c>
      <c r="E349" s="1"/>
      <c r="F349" s="1"/>
      <c r="G349" s="1" t="s">
        <v>102</v>
      </c>
      <c r="H349" s="1" t="s">
        <v>114</v>
      </c>
      <c r="I349" s="1"/>
      <c r="J349" s="113">
        <f>Table4[[#This Row],[total_cost_npr]]*(1/'Calculations &amp; Assumptions'!$C$6)</f>
        <v>270817.92147806002</v>
      </c>
      <c r="K349" s="113">
        <f>Table4[[#This Row],[system_cost_npr_per_kwp]]*(1/'Calculations &amp; Assumptions'!$C$6)</f>
        <v>3610.9056197074669</v>
      </c>
      <c r="L349" s="23">
        <f>IF(Table4[[#This Row],[total_cost_inr]]&gt;0, Table4[[#This Row],[total_cost_inr]]*'Calculations &amp; Assumptions'!$C$7,IF(Table4[[#This Row],[total_cost_eur]]&gt;0,Table4[[#This Row],[total_cost_eur]]*'Calculations &amp; Assumptions'!$C$5,0))</f>
        <v>35179248</v>
      </c>
      <c r="M349" s="77">
        <f>IF(H349="smartmeter_1ph",Table4[[#This Row],[total_cost_npr]],Table4[[#This Row],[total_cost_npr]]/Table4[[#This Row],[pv_kWp]])</f>
        <v>469056.64</v>
      </c>
      <c r="N349" s="1"/>
      <c r="O349" s="90">
        <f>Table4[[#This Row],[total_cost_inr]]/Table4[[#This Row],[pv_kWp]]</f>
        <v>0</v>
      </c>
      <c r="P349" s="1">
        <v>270609.59999999998</v>
      </c>
      <c r="Q349" s="3">
        <f>Table4[[#This Row],[total_cost_eur]]/Table4[[#This Row],[pv_kWp]]</f>
        <v>3608.1279999999997</v>
      </c>
      <c r="R349" s="1"/>
      <c r="S349" s="1"/>
      <c r="T349" s="1">
        <v>75</v>
      </c>
      <c r="U349" s="1"/>
      <c r="V349" s="1"/>
      <c r="W349" s="1"/>
      <c r="X349" s="1"/>
      <c r="Y349" s="1"/>
      <c r="Z349" s="1"/>
      <c r="AA349" s="1"/>
      <c r="AB349" s="1"/>
      <c r="AC349" s="1"/>
      <c r="AD349" s="1">
        <v>30</v>
      </c>
      <c r="AE349" s="1"/>
      <c r="AF349" s="1"/>
      <c r="AG349" s="1"/>
      <c r="AH349" s="6"/>
      <c r="AI349" s="1"/>
      <c r="AJ349" s="1"/>
      <c r="AK349" s="1"/>
      <c r="AL349" s="1"/>
      <c r="AM349" s="1"/>
      <c r="AN349" s="1"/>
      <c r="AO349" s="1"/>
      <c r="AP349" s="1"/>
      <c r="AQ349" s="1"/>
      <c r="AR349" s="1"/>
      <c r="AS349" s="1" t="s">
        <v>479</v>
      </c>
      <c r="AT349" s="1" t="s">
        <v>482</v>
      </c>
      <c r="AU349" s="1">
        <v>0.4</v>
      </c>
      <c r="AV349" s="1">
        <v>767</v>
      </c>
      <c r="AW349" s="1">
        <v>195000</v>
      </c>
      <c r="AX349" s="1">
        <v>53690</v>
      </c>
      <c r="AY349" s="1">
        <v>163919.59999999998</v>
      </c>
      <c r="AZ349" s="1">
        <v>0.16</v>
      </c>
      <c r="BA349" s="1">
        <v>8</v>
      </c>
      <c r="BB349" s="1">
        <v>248000</v>
      </c>
      <c r="BC349" s="1">
        <v>270609.59999999998</v>
      </c>
      <c r="BD349" s="1">
        <v>28815</v>
      </c>
      <c r="BE349" s="1">
        <v>75</v>
      </c>
      <c r="BF349" s="1">
        <v>30</v>
      </c>
      <c r="BG349" s="1">
        <v>0.21</v>
      </c>
      <c r="BH349" s="1" t="s">
        <v>483</v>
      </c>
      <c r="BI349" s="1"/>
      <c r="BJ349" s="1">
        <v>20489.949999999997</v>
      </c>
      <c r="BK349" s="1"/>
    </row>
    <row r="350" spans="1:63" ht="16" thickBot="1" x14ac:dyDescent="0.25">
      <c r="A350" s="3">
        <v>350</v>
      </c>
      <c r="B350" s="3" t="s">
        <v>477</v>
      </c>
      <c r="C350" s="3" t="s">
        <v>543</v>
      </c>
      <c r="D350" s="1" t="s">
        <v>478</v>
      </c>
      <c r="E350" s="1"/>
      <c r="F350" s="1"/>
      <c r="G350" s="1" t="s">
        <v>102</v>
      </c>
      <c r="H350" s="1" t="s">
        <v>114</v>
      </c>
      <c r="I350" s="1"/>
      <c r="J350" s="113">
        <f>Table4[[#This Row],[total_cost_npr]]*(1/'Calculations &amp; Assumptions'!$C$6)</f>
        <v>239794.05696689757</v>
      </c>
      <c r="K350" s="113">
        <f>Table4[[#This Row],[system_cost_npr_per_kwp]]*(1/'Calculations &amp; Assumptions'!$C$6)</f>
        <v>6851.2587704827874</v>
      </c>
      <c r="L350" s="23">
        <f>IF(Table4[[#This Row],[total_cost_inr]]&gt;0, Table4[[#This Row],[total_cost_inr]]*'Calculations &amp; Assumptions'!$C$7,IF(Table4[[#This Row],[total_cost_eur]]&gt;0,Table4[[#This Row],[total_cost_eur]]*'Calculations &amp; Assumptions'!$C$5,0))</f>
        <v>31149247.999999996</v>
      </c>
      <c r="M350" s="77">
        <f>IF(H350="smartmeter_1ph",Table4[[#This Row],[total_cost_npr]],Table4[[#This Row],[total_cost_npr]]/Table4[[#This Row],[pv_kWp]])</f>
        <v>889978.51428571413</v>
      </c>
      <c r="N350" s="1"/>
      <c r="O350" s="90">
        <f>Table4[[#This Row],[total_cost_inr]]/Table4[[#This Row],[pv_kWp]]</f>
        <v>0</v>
      </c>
      <c r="P350" s="1">
        <v>239609.59999999998</v>
      </c>
      <c r="Q350" s="3">
        <f>Table4[[#This Row],[total_cost_eur]]/Table4[[#This Row],[pv_kWp]]</f>
        <v>6845.988571428571</v>
      </c>
      <c r="R350" s="1"/>
      <c r="S350" s="1"/>
      <c r="T350" s="1">
        <v>35</v>
      </c>
      <c r="U350" s="1"/>
      <c r="V350" s="1"/>
      <c r="W350" s="1"/>
      <c r="X350" s="1"/>
      <c r="Y350" s="1"/>
      <c r="Z350" s="1"/>
      <c r="AA350" s="1"/>
      <c r="AB350" s="1"/>
      <c r="AC350" s="1"/>
      <c r="AD350" s="1">
        <v>5</v>
      </c>
      <c r="AE350" s="1"/>
      <c r="AF350" s="1"/>
      <c r="AG350" s="1"/>
      <c r="AH350" s="6"/>
      <c r="AI350" s="1"/>
      <c r="AJ350" s="1"/>
      <c r="AK350" s="1"/>
      <c r="AL350" s="1"/>
      <c r="AM350" s="1"/>
      <c r="AN350" s="1"/>
      <c r="AO350" s="1"/>
      <c r="AP350" s="1"/>
      <c r="AQ350" s="1"/>
      <c r="AR350" s="1"/>
      <c r="AS350" s="1" t="s">
        <v>479</v>
      </c>
      <c r="AT350" s="1" t="s">
        <v>482</v>
      </c>
      <c r="AU350" s="1">
        <v>0.25</v>
      </c>
      <c r="AV350" s="1">
        <v>767</v>
      </c>
      <c r="AW350" s="1">
        <v>195000</v>
      </c>
      <c r="AX350" s="1">
        <v>53690</v>
      </c>
      <c r="AY350" s="1">
        <v>163919.59999999998</v>
      </c>
      <c r="AZ350" s="1">
        <v>0.16</v>
      </c>
      <c r="BA350" s="1">
        <v>8</v>
      </c>
      <c r="BB350" s="1">
        <v>217000</v>
      </c>
      <c r="BC350" s="1">
        <v>239609.59999999998</v>
      </c>
      <c r="BD350" s="1">
        <v>35606</v>
      </c>
      <c r="BE350" s="1">
        <v>35</v>
      </c>
      <c r="BF350" s="1">
        <v>5</v>
      </c>
      <c r="BG350" s="1">
        <v>0.21</v>
      </c>
      <c r="BH350" s="1" t="s">
        <v>483</v>
      </c>
      <c r="BI350" s="1"/>
      <c r="BJ350" s="1">
        <v>20489.949999999997</v>
      </c>
      <c r="BK350" s="1"/>
    </row>
    <row r="351" spans="1:63" ht="16" thickBot="1" x14ac:dyDescent="0.25">
      <c r="A351" s="3">
        <v>351</v>
      </c>
      <c r="B351" s="3" t="s">
        <v>477</v>
      </c>
      <c r="C351" s="3" t="s">
        <v>543</v>
      </c>
      <c r="D351" s="1" t="s">
        <v>478</v>
      </c>
      <c r="E351" s="1"/>
      <c r="F351" s="1"/>
      <c r="G351" s="1" t="s">
        <v>102</v>
      </c>
      <c r="H351" s="1" t="s">
        <v>114</v>
      </c>
      <c r="I351" s="1"/>
      <c r="J351" s="113">
        <f>Table4[[#This Row],[total_cost_npr]]*(1/'Calculations &amp; Assumptions'!$C$6)</f>
        <v>286830.23864511162</v>
      </c>
      <c r="K351" s="113">
        <f>Table4[[#This Row],[system_cost_npr_per_kwp]]*(1/'Calculations &amp; Assumptions'!$C$6)</f>
        <v>3187.0026516123512</v>
      </c>
      <c r="L351" s="23">
        <f>IF(Table4[[#This Row],[total_cost_inr]]&gt;0, Table4[[#This Row],[total_cost_inr]]*'Calculations &amp; Assumptions'!$C$7,IF(Table4[[#This Row],[total_cost_eur]]&gt;0,Table4[[#This Row],[total_cost_eur]]*'Calculations &amp; Assumptions'!$C$5,0))</f>
        <v>37259248</v>
      </c>
      <c r="M351" s="77">
        <f>IF(H351="smartmeter_1ph",Table4[[#This Row],[total_cost_npr]],Table4[[#This Row],[total_cost_npr]]/Table4[[#This Row],[pv_kWp]])</f>
        <v>413991.64444444445</v>
      </c>
      <c r="N351" s="1"/>
      <c r="O351" s="90">
        <f>Table4[[#This Row],[total_cost_inr]]/Table4[[#This Row],[pv_kWp]]</f>
        <v>0</v>
      </c>
      <c r="P351" s="1">
        <v>286609.59999999998</v>
      </c>
      <c r="Q351" s="3">
        <f>Table4[[#This Row],[total_cost_eur]]/Table4[[#This Row],[pv_kWp]]</f>
        <v>3184.5511111111109</v>
      </c>
      <c r="R351" s="1"/>
      <c r="S351" s="1"/>
      <c r="T351" s="1">
        <v>90</v>
      </c>
      <c r="U351" s="1"/>
      <c r="V351" s="1"/>
      <c r="W351" s="1"/>
      <c r="X351" s="1"/>
      <c r="Y351" s="1"/>
      <c r="Z351" s="1"/>
      <c r="AA351" s="1"/>
      <c r="AB351" s="1"/>
      <c r="AC351" s="1"/>
      <c r="AD351" s="1">
        <v>50</v>
      </c>
      <c r="AE351" s="1"/>
      <c r="AF351" s="1"/>
      <c r="AG351" s="1"/>
      <c r="AH351" s="6"/>
      <c r="AI351" s="1"/>
      <c r="AJ351" s="1"/>
      <c r="AK351" s="1"/>
      <c r="AL351" s="1"/>
      <c r="AM351" s="1"/>
      <c r="AN351" s="1"/>
      <c r="AO351" s="1"/>
      <c r="AP351" s="1"/>
      <c r="AQ351" s="1"/>
      <c r="AR351" s="1"/>
      <c r="AS351" s="1" t="s">
        <v>479</v>
      </c>
      <c r="AT351" s="1" t="s">
        <v>482</v>
      </c>
      <c r="AU351" s="1">
        <v>0.45</v>
      </c>
      <c r="AV351" s="1">
        <v>767</v>
      </c>
      <c r="AW351" s="1">
        <v>195000</v>
      </c>
      <c r="AX351" s="1">
        <v>53690</v>
      </c>
      <c r="AY351" s="1">
        <v>163919.59999999998</v>
      </c>
      <c r="AZ351" s="1">
        <v>0.16</v>
      </c>
      <c r="BA351" s="1">
        <v>8</v>
      </c>
      <c r="BB351" s="1">
        <v>264000</v>
      </c>
      <c r="BC351" s="1">
        <v>286609.59999999998</v>
      </c>
      <c r="BD351" s="1">
        <v>25569</v>
      </c>
      <c r="BE351" s="1">
        <v>90</v>
      </c>
      <c r="BF351" s="1">
        <v>50</v>
      </c>
      <c r="BG351" s="1">
        <v>0.21</v>
      </c>
      <c r="BH351" s="1" t="s">
        <v>483</v>
      </c>
      <c r="BI351" s="1"/>
      <c r="BJ351" s="1">
        <v>20489.949999999997</v>
      </c>
      <c r="BK351" s="1"/>
    </row>
    <row r="352" spans="1:63" ht="16" thickBot="1" x14ac:dyDescent="0.25">
      <c r="A352" s="3">
        <v>352</v>
      </c>
      <c r="B352" s="3" t="s">
        <v>477</v>
      </c>
      <c r="C352" s="3" t="s">
        <v>543</v>
      </c>
      <c r="D352" s="1" t="s">
        <v>478</v>
      </c>
      <c r="E352" s="1"/>
      <c r="F352" s="1"/>
      <c r="G352" s="1" t="s">
        <v>102</v>
      </c>
      <c r="H352" s="1" t="s">
        <v>114</v>
      </c>
      <c r="I352" s="1"/>
      <c r="J352" s="113">
        <f>Table4[[#This Row],[total_cost_npr]]*(1/'Calculations &amp; Assumptions'!$C$6)</f>
        <v>299840.24634334102</v>
      </c>
      <c r="K352" s="113">
        <f>Table4[[#This Row],[system_cost_npr_per_kwp]]*(1/'Calculations &amp; Assumptions'!$C$6)</f>
        <v>2725.8204213031004</v>
      </c>
      <c r="L352" s="23">
        <f>IF(Table4[[#This Row],[total_cost_inr]]&gt;0, Table4[[#This Row],[total_cost_inr]]*'Calculations &amp; Assumptions'!$C$7,IF(Table4[[#This Row],[total_cost_eur]]&gt;0,Table4[[#This Row],[total_cost_eur]]*'Calculations &amp; Assumptions'!$C$5,0))</f>
        <v>38949248</v>
      </c>
      <c r="M352" s="77">
        <f>IF(H352="smartmeter_1ph",Table4[[#This Row],[total_cost_npr]],Table4[[#This Row],[total_cost_npr]]/Table4[[#This Row],[pv_kWp]])</f>
        <v>354084.07272727275</v>
      </c>
      <c r="N352" s="1"/>
      <c r="O352" s="90">
        <f>Table4[[#This Row],[total_cost_inr]]/Table4[[#This Row],[pv_kWp]]</f>
        <v>0</v>
      </c>
      <c r="P352" s="1">
        <v>299609.59999999998</v>
      </c>
      <c r="Q352" s="3">
        <f>Table4[[#This Row],[total_cost_eur]]/Table4[[#This Row],[pv_kWp]]</f>
        <v>2723.7236363636362</v>
      </c>
      <c r="R352" s="1"/>
      <c r="S352" s="1"/>
      <c r="T352" s="1">
        <v>110</v>
      </c>
      <c r="U352" s="1"/>
      <c r="V352" s="1"/>
      <c r="W352" s="1"/>
      <c r="X352" s="1"/>
      <c r="Y352" s="1"/>
      <c r="Z352" s="1"/>
      <c r="AA352" s="1"/>
      <c r="AB352" s="1"/>
      <c r="AC352" s="1"/>
      <c r="AD352" s="1">
        <v>60</v>
      </c>
      <c r="AE352" s="1"/>
      <c r="AF352" s="1"/>
      <c r="AG352" s="1"/>
      <c r="AH352" s="6"/>
      <c r="AI352" s="1"/>
      <c r="AJ352" s="1"/>
      <c r="AK352" s="1"/>
      <c r="AL352" s="1"/>
      <c r="AM352" s="1"/>
      <c r="AN352" s="1"/>
      <c r="AO352" s="1"/>
      <c r="AP352" s="1"/>
      <c r="AQ352" s="1"/>
      <c r="AR352" s="1"/>
      <c r="AS352" s="1" t="s">
        <v>479</v>
      </c>
      <c r="AT352" s="1" t="s">
        <v>482</v>
      </c>
      <c r="AU352" s="1">
        <v>0.5</v>
      </c>
      <c r="AV352" s="1">
        <v>767</v>
      </c>
      <c r="AW352" s="1">
        <v>195000</v>
      </c>
      <c r="AX352" s="1">
        <v>53690</v>
      </c>
      <c r="AY352" s="1">
        <v>163919.59999999998</v>
      </c>
      <c r="AZ352" s="1">
        <v>0.16</v>
      </c>
      <c r="BA352" s="1">
        <v>8</v>
      </c>
      <c r="BB352" s="1">
        <v>277000</v>
      </c>
      <c r="BC352" s="1">
        <v>299609.59999999998</v>
      </c>
      <c r="BD352" s="1">
        <v>23305</v>
      </c>
      <c r="BE352" s="1">
        <v>110</v>
      </c>
      <c r="BF352" s="1">
        <v>60</v>
      </c>
      <c r="BG352" s="1">
        <v>0.21</v>
      </c>
      <c r="BH352" s="1" t="s">
        <v>483</v>
      </c>
      <c r="BI352" s="1"/>
      <c r="BJ352" s="1">
        <v>20489.949999999997</v>
      </c>
      <c r="BK352" s="1"/>
    </row>
    <row r="353" spans="1:63" ht="16" thickBot="1" x14ac:dyDescent="0.25">
      <c r="A353" s="3">
        <v>353</v>
      </c>
      <c r="B353" s="3" t="s">
        <v>477</v>
      </c>
      <c r="C353" s="3" t="s">
        <v>543</v>
      </c>
      <c r="D353" s="1" t="s">
        <v>478</v>
      </c>
      <c r="E353" s="1"/>
      <c r="F353" s="1"/>
      <c r="G353" s="1" t="s">
        <v>102</v>
      </c>
      <c r="H353" s="1" t="s">
        <v>114</v>
      </c>
      <c r="I353" s="1"/>
      <c r="J353" s="113">
        <f>Table4[[#This Row],[total_cost_npr]]*(1/'Calculations &amp; Assumptions'!$C$6)</f>
        <v>313851.02386451111</v>
      </c>
      <c r="K353" s="113">
        <f>Table4[[#This Row],[system_cost_npr_per_kwp]]*(1/'Calculations &amp; Assumptions'!$C$6)</f>
        <v>2471.2679044449696</v>
      </c>
      <c r="L353" s="23">
        <f>IF(Table4[[#This Row],[total_cost_inr]]&gt;0, Table4[[#This Row],[total_cost_inr]]*'Calculations &amp; Assumptions'!$C$7,IF(Table4[[#This Row],[total_cost_eur]]&gt;0,Table4[[#This Row],[total_cost_eur]]*'Calculations &amp; Assumptions'!$C$5,0))</f>
        <v>40769248</v>
      </c>
      <c r="M353" s="77">
        <f>IF(H353="smartmeter_1ph",Table4[[#This Row],[total_cost_npr]],Table4[[#This Row],[total_cost_npr]]/Table4[[#This Row],[pv_kWp]])</f>
        <v>321017.70078740158</v>
      </c>
      <c r="N353" s="1"/>
      <c r="O353" s="90">
        <f>Table4[[#This Row],[total_cost_inr]]/Table4[[#This Row],[pv_kWp]]</f>
        <v>0</v>
      </c>
      <c r="P353" s="1">
        <v>313609.59999999998</v>
      </c>
      <c r="Q353" s="3">
        <f>Table4[[#This Row],[total_cost_eur]]/Table4[[#This Row],[pv_kWp]]</f>
        <v>2469.3669291338579</v>
      </c>
      <c r="R353" s="1"/>
      <c r="S353" s="1"/>
      <c r="T353" s="1">
        <v>127</v>
      </c>
      <c r="U353" s="1"/>
      <c r="V353" s="1"/>
      <c r="W353" s="1"/>
      <c r="X353" s="1"/>
      <c r="Y353" s="1"/>
      <c r="Z353" s="1"/>
      <c r="AA353" s="1"/>
      <c r="AB353" s="1"/>
      <c r="AC353" s="1"/>
      <c r="AD353" s="1">
        <v>74</v>
      </c>
      <c r="AE353" s="1"/>
      <c r="AF353" s="1"/>
      <c r="AG353" s="1"/>
      <c r="AH353" s="6"/>
      <c r="AI353" s="1"/>
      <c r="AJ353" s="1"/>
      <c r="AK353" s="1"/>
      <c r="AL353" s="1"/>
      <c r="AM353" s="1"/>
      <c r="AN353" s="1"/>
      <c r="AO353" s="1"/>
      <c r="AP353" s="1"/>
      <c r="AQ353" s="1"/>
      <c r="AR353" s="1"/>
      <c r="AS353" s="1" t="s">
        <v>479</v>
      </c>
      <c r="AT353" s="1" t="s">
        <v>482</v>
      </c>
      <c r="AU353" s="1">
        <v>0.55000000000000004</v>
      </c>
      <c r="AV353" s="1">
        <v>767</v>
      </c>
      <c r="AW353" s="1">
        <v>195000</v>
      </c>
      <c r="AX353" s="1">
        <v>53690</v>
      </c>
      <c r="AY353" s="1">
        <v>163919.59999999998</v>
      </c>
      <c r="AZ353" s="1">
        <v>0.16</v>
      </c>
      <c r="BA353" s="1">
        <v>8</v>
      </c>
      <c r="BB353" s="1">
        <v>291000</v>
      </c>
      <c r="BC353" s="1">
        <v>313609.59999999998</v>
      </c>
      <c r="BD353" s="1">
        <v>21453</v>
      </c>
      <c r="BE353" s="1">
        <v>127</v>
      </c>
      <c r="BF353" s="1">
        <v>74</v>
      </c>
      <c r="BG353" s="1">
        <v>0.21</v>
      </c>
      <c r="BH353" s="1" t="s">
        <v>483</v>
      </c>
      <c r="BI353" s="1"/>
      <c r="BJ353" s="1">
        <v>20489.949999999997</v>
      </c>
      <c r="BK353" s="1"/>
    </row>
    <row r="354" spans="1:63" ht="16" thickBot="1" x14ac:dyDescent="0.25">
      <c r="A354" s="3">
        <v>354</v>
      </c>
      <c r="B354" s="3" t="s">
        <v>477</v>
      </c>
      <c r="C354" s="3" t="s">
        <v>543</v>
      </c>
      <c r="D354" s="1" t="s">
        <v>478</v>
      </c>
      <c r="E354" s="1"/>
      <c r="F354" s="1"/>
      <c r="G354" s="1" t="s">
        <v>102</v>
      </c>
      <c r="H354" s="1" t="s">
        <v>114</v>
      </c>
      <c r="I354" s="1"/>
      <c r="J354" s="113">
        <f>Table4[[#This Row],[total_cost_npr]]*(1/'Calculations &amp; Assumptions'!$C$6)</f>
        <v>331864.88067744416</v>
      </c>
      <c r="K354" s="113">
        <f>Table4[[#This Row],[system_cost_npr_per_kwp]]*(1/'Calculations &amp; Assumptions'!$C$6)</f>
        <v>2387.5171271758572</v>
      </c>
      <c r="L354" s="23">
        <f>IF(Table4[[#This Row],[total_cost_inr]]&gt;0, Table4[[#This Row],[total_cost_inr]]*'Calculations &amp; Assumptions'!$C$7,IF(Table4[[#This Row],[total_cost_eur]]&gt;0,Table4[[#This Row],[total_cost_eur]]*'Calculations &amp; Assumptions'!$C$5,0))</f>
        <v>43109248</v>
      </c>
      <c r="M354" s="77">
        <f>IF(H354="smartmeter_1ph",Table4[[#This Row],[total_cost_npr]],Table4[[#This Row],[total_cost_npr]]/Table4[[#This Row],[pv_kWp]])</f>
        <v>310138.47482014389</v>
      </c>
      <c r="N354" s="1"/>
      <c r="O354" s="90">
        <f>Table4[[#This Row],[total_cost_inr]]/Table4[[#This Row],[pv_kWp]]</f>
        <v>0</v>
      </c>
      <c r="P354" s="1">
        <v>331609.59999999998</v>
      </c>
      <c r="Q354" s="3">
        <f>Table4[[#This Row],[total_cost_eur]]/Table4[[#This Row],[pv_kWp]]</f>
        <v>2385.6805755395681</v>
      </c>
      <c r="R354" s="1"/>
      <c r="S354" s="1"/>
      <c r="T354" s="1">
        <v>139</v>
      </c>
      <c r="U354" s="1"/>
      <c r="V354" s="1"/>
      <c r="W354" s="1"/>
      <c r="X354" s="1"/>
      <c r="Y354" s="1"/>
      <c r="Z354" s="1"/>
      <c r="AA354" s="1"/>
      <c r="AB354" s="1"/>
      <c r="AC354" s="1"/>
      <c r="AD354" s="1">
        <v>103</v>
      </c>
      <c r="AE354" s="1"/>
      <c r="AF354" s="1"/>
      <c r="AG354" s="1"/>
      <c r="AH354" s="6"/>
      <c r="AI354" s="1"/>
      <c r="AJ354" s="1"/>
      <c r="AK354" s="1"/>
      <c r="AL354" s="1"/>
      <c r="AM354" s="1"/>
      <c r="AN354" s="1"/>
      <c r="AO354" s="1"/>
      <c r="AP354" s="1"/>
      <c r="AQ354" s="1"/>
      <c r="AR354" s="1"/>
      <c r="AS354" s="1" t="s">
        <v>479</v>
      </c>
      <c r="AT354" s="1" t="s">
        <v>482</v>
      </c>
      <c r="AU354" s="1">
        <v>0.6</v>
      </c>
      <c r="AV354" s="1">
        <v>767</v>
      </c>
      <c r="AW354" s="1">
        <v>195000</v>
      </c>
      <c r="AX354" s="1">
        <v>53690</v>
      </c>
      <c r="AY354" s="1">
        <v>163919.59999999998</v>
      </c>
      <c r="AZ354" s="1">
        <v>0.16</v>
      </c>
      <c r="BA354" s="1">
        <v>8</v>
      </c>
      <c r="BB354" s="1">
        <v>309000</v>
      </c>
      <c r="BC354" s="1">
        <v>331609.59999999998</v>
      </c>
      <c r="BD354" s="1">
        <v>19102</v>
      </c>
      <c r="BE354" s="1">
        <v>139</v>
      </c>
      <c r="BF354" s="1">
        <v>103</v>
      </c>
      <c r="BG354" s="1">
        <v>0.21</v>
      </c>
      <c r="BH354" s="1" t="s">
        <v>483</v>
      </c>
      <c r="BI354" s="1"/>
      <c r="BJ354" s="1">
        <v>20489.949999999997</v>
      </c>
      <c r="BK354" s="1"/>
    </row>
    <row r="355" spans="1:63" ht="16" thickBot="1" x14ac:dyDescent="0.25">
      <c r="A355" s="3">
        <v>355</v>
      </c>
      <c r="B355" s="3" t="s">
        <v>477</v>
      </c>
      <c r="C355" s="3" t="s">
        <v>543</v>
      </c>
      <c r="D355" s="1" t="s">
        <v>478</v>
      </c>
      <c r="E355" s="1"/>
      <c r="F355" s="1"/>
      <c r="G355" s="1" t="s">
        <v>102</v>
      </c>
      <c r="H355" s="1" t="s">
        <v>114</v>
      </c>
      <c r="I355" s="1"/>
      <c r="J355" s="113">
        <f>Table4[[#This Row],[total_cost_npr]]*(1/'Calculations &amp; Assumptions'!$C$6)</f>
        <v>347877.19784449571</v>
      </c>
      <c r="K355" s="113">
        <f>Table4[[#This Row],[system_cost_npr_per_kwp]]*(1/'Calculations &amp; Assumptions'!$C$6)</f>
        <v>2229.9820374647165</v>
      </c>
      <c r="L355" s="23">
        <f>IF(Table4[[#This Row],[total_cost_inr]]&gt;0, Table4[[#This Row],[total_cost_inr]]*'Calculations &amp; Assumptions'!$C$7,IF(Table4[[#This Row],[total_cost_eur]]&gt;0,Table4[[#This Row],[total_cost_eur]]*'Calculations &amp; Assumptions'!$C$5,0))</f>
        <v>45189248</v>
      </c>
      <c r="M355" s="77">
        <f>IF(H355="smartmeter_1ph",Table4[[#This Row],[total_cost_npr]],Table4[[#This Row],[total_cost_npr]]/Table4[[#This Row],[pv_kWp]])</f>
        <v>289674.66666666669</v>
      </c>
      <c r="N355" s="1"/>
      <c r="O355" s="90">
        <f>Table4[[#This Row],[total_cost_inr]]/Table4[[#This Row],[pv_kWp]]</f>
        <v>0</v>
      </c>
      <c r="P355" s="1">
        <v>347609.59999999998</v>
      </c>
      <c r="Q355" s="3">
        <f>Table4[[#This Row],[total_cost_eur]]/Table4[[#This Row],[pv_kWp]]</f>
        <v>2228.2666666666664</v>
      </c>
      <c r="R355" s="1"/>
      <c r="S355" s="1"/>
      <c r="T355" s="1">
        <v>156</v>
      </c>
      <c r="U355" s="1"/>
      <c r="V355" s="1"/>
      <c r="W355" s="1"/>
      <c r="X355" s="1"/>
      <c r="Y355" s="1"/>
      <c r="Z355" s="1"/>
      <c r="AA355" s="1"/>
      <c r="AB355" s="1"/>
      <c r="AC355" s="1"/>
      <c r="AD355" s="1">
        <v>131</v>
      </c>
      <c r="AE355" s="1"/>
      <c r="AF355" s="1"/>
      <c r="AG355" s="1"/>
      <c r="AH355" s="6"/>
      <c r="AI355" s="1"/>
      <c r="AJ355" s="1"/>
      <c r="AK355" s="1"/>
      <c r="AL355" s="1"/>
      <c r="AM355" s="1"/>
      <c r="AN355" s="1"/>
      <c r="AO355" s="1"/>
      <c r="AP355" s="1"/>
      <c r="AQ355" s="1"/>
      <c r="AR355" s="1"/>
      <c r="AS355" s="1" t="s">
        <v>479</v>
      </c>
      <c r="AT355" s="1" t="s">
        <v>482</v>
      </c>
      <c r="AU355" s="1">
        <v>0.65</v>
      </c>
      <c r="AV355" s="1">
        <v>767</v>
      </c>
      <c r="AW355" s="1">
        <v>195000</v>
      </c>
      <c r="AX355" s="1">
        <v>53690</v>
      </c>
      <c r="AY355" s="1">
        <v>163919.59999999998</v>
      </c>
      <c r="AZ355" s="1">
        <v>0.16</v>
      </c>
      <c r="BA355" s="1">
        <v>8</v>
      </c>
      <c r="BB355" s="1">
        <v>325000</v>
      </c>
      <c r="BC355" s="1">
        <v>347609.59999999998</v>
      </c>
      <c r="BD355" s="1">
        <v>16856</v>
      </c>
      <c r="BE355" s="1">
        <v>156</v>
      </c>
      <c r="BF355" s="1">
        <v>131</v>
      </c>
      <c r="BG355" s="1">
        <v>0.21</v>
      </c>
      <c r="BH355" s="1" t="s">
        <v>483</v>
      </c>
      <c r="BI355" s="1"/>
      <c r="BJ355" s="1">
        <v>20489.949999999997</v>
      </c>
      <c r="BK355" s="1"/>
    </row>
    <row r="356" spans="1:63" ht="16" thickBot="1" x14ac:dyDescent="0.25">
      <c r="A356" s="3">
        <v>356</v>
      </c>
      <c r="B356" s="3" t="s">
        <v>477</v>
      </c>
      <c r="C356" s="3" t="s">
        <v>543</v>
      </c>
      <c r="D356" s="1" t="s">
        <v>478</v>
      </c>
      <c r="E356" s="1"/>
      <c r="F356" s="1"/>
      <c r="G356" s="1" t="s">
        <v>102</v>
      </c>
      <c r="H356" s="1" t="s">
        <v>114</v>
      </c>
      <c r="I356" s="1"/>
      <c r="J356" s="113">
        <f>Table4[[#This Row],[total_cost_npr]]*(1/'Calculations &amp; Assumptions'!$C$6)</f>
        <v>363889.51501154731</v>
      </c>
      <c r="K356" s="113">
        <f>Table4[[#This Row],[system_cost_npr_per_kwp]]*(1/'Calculations &amp; Assumptions'!$C$6)</f>
        <v>2332.6250962278673</v>
      </c>
      <c r="L356" s="23">
        <f>IF(Table4[[#This Row],[total_cost_inr]]&gt;0, Table4[[#This Row],[total_cost_inr]]*'Calculations &amp; Assumptions'!$C$7,IF(Table4[[#This Row],[total_cost_eur]]&gt;0,Table4[[#This Row],[total_cost_eur]]*'Calculations &amp; Assumptions'!$C$5,0))</f>
        <v>47269248</v>
      </c>
      <c r="M356" s="77">
        <f>IF(H356="smartmeter_1ph",Table4[[#This Row],[total_cost_npr]],Table4[[#This Row],[total_cost_npr]]/Table4[[#This Row],[pv_kWp]])</f>
        <v>303008</v>
      </c>
      <c r="N356" s="1"/>
      <c r="O356" s="90">
        <f>Table4[[#This Row],[total_cost_inr]]/Table4[[#This Row],[pv_kWp]]</f>
        <v>0</v>
      </c>
      <c r="P356" s="1">
        <v>363609.59999999998</v>
      </c>
      <c r="Q356" s="3">
        <f>Table4[[#This Row],[total_cost_eur]]/Table4[[#This Row],[pv_kWp]]</f>
        <v>2330.830769230769</v>
      </c>
      <c r="R356" s="1"/>
      <c r="S356" s="1"/>
      <c r="T356" s="1">
        <v>156</v>
      </c>
      <c r="U356" s="1"/>
      <c r="V356" s="1"/>
      <c r="W356" s="1"/>
      <c r="X356" s="1"/>
      <c r="Y356" s="1"/>
      <c r="Z356" s="1"/>
      <c r="AA356" s="1"/>
      <c r="AB356" s="1"/>
      <c r="AC356" s="1"/>
      <c r="AD356" s="1">
        <v>175</v>
      </c>
      <c r="AE356" s="1"/>
      <c r="AF356" s="1"/>
      <c r="AG356" s="1"/>
      <c r="AH356" s="6"/>
      <c r="AI356" s="1"/>
      <c r="AJ356" s="1"/>
      <c r="AK356" s="1"/>
      <c r="AL356" s="1"/>
      <c r="AM356" s="1"/>
      <c r="AN356" s="1"/>
      <c r="AO356" s="1"/>
      <c r="AP356" s="1"/>
      <c r="AQ356" s="1"/>
      <c r="AR356" s="1"/>
      <c r="AS356" s="1" t="s">
        <v>479</v>
      </c>
      <c r="AT356" s="1" t="s">
        <v>482</v>
      </c>
      <c r="AU356" s="1">
        <v>0.7</v>
      </c>
      <c r="AV356" s="1">
        <v>767</v>
      </c>
      <c r="AW356" s="1">
        <v>195000</v>
      </c>
      <c r="AX356" s="1">
        <v>53690</v>
      </c>
      <c r="AY356" s="1">
        <v>163919.59999999998</v>
      </c>
      <c r="AZ356" s="1">
        <v>0.16</v>
      </c>
      <c r="BA356" s="1">
        <v>8</v>
      </c>
      <c r="BB356" s="1">
        <v>341000</v>
      </c>
      <c r="BC356" s="1">
        <v>363609.59999999998</v>
      </c>
      <c r="BD356" s="1">
        <v>14549</v>
      </c>
      <c r="BE356" s="1">
        <v>156</v>
      </c>
      <c r="BF356" s="1">
        <v>175</v>
      </c>
      <c r="BG356" s="1">
        <v>0.21</v>
      </c>
      <c r="BH356" s="1" t="s">
        <v>483</v>
      </c>
      <c r="BI356" s="1"/>
      <c r="BJ356" s="1">
        <v>20489.949999999997</v>
      </c>
      <c r="BK356" s="1"/>
    </row>
    <row r="357" spans="1:63" ht="16" thickBot="1" x14ac:dyDescent="0.25">
      <c r="A357" s="3">
        <v>357</v>
      </c>
      <c r="B357" s="3" t="s">
        <v>477</v>
      </c>
      <c r="C357" s="3" t="s">
        <v>543</v>
      </c>
      <c r="D357" s="1" t="s">
        <v>478</v>
      </c>
      <c r="E357" s="1"/>
      <c r="F357" s="1"/>
      <c r="G357" s="1" t="s">
        <v>102</v>
      </c>
      <c r="H357" s="1" t="s">
        <v>114</v>
      </c>
      <c r="I357" s="1"/>
      <c r="J357" s="113">
        <f>Table4[[#This Row],[total_cost_npr]]*(1/'Calculations &amp; Assumptions'!$C$6)</f>
        <v>383904.91147036181</v>
      </c>
      <c r="K357" s="113">
        <f>Table4[[#This Row],[system_cost_npr_per_kwp]]*(1/'Calculations &amp; Assumptions'!$C$6)</f>
        <v>2193.74235125921</v>
      </c>
      <c r="L357" s="23">
        <f>IF(Table4[[#This Row],[total_cost_inr]]&gt;0, Table4[[#This Row],[total_cost_inr]]*'Calculations &amp; Assumptions'!$C$7,IF(Table4[[#This Row],[total_cost_eur]]&gt;0,Table4[[#This Row],[total_cost_eur]]*'Calculations &amp; Assumptions'!$C$5,0))</f>
        <v>49869248</v>
      </c>
      <c r="M357" s="77">
        <f>IF(H357="smartmeter_1ph",Table4[[#This Row],[total_cost_npr]],Table4[[#This Row],[total_cost_npr]]/Table4[[#This Row],[pv_kWp]])</f>
        <v>284967.13142857142</v>
      </c>
      <c r="N357" s="1"/>
      <c r="O357" s="90">
        <f>Table4[[#This Row],[total_cost_inr]]/Table4[[#This Row],[pv_kWp]]</f>
        <v>0</v>
      </c>
      <c r="P357" s="1">
        <v>383609.59999999998</v>
      </c>
      <c r="Q357" s="3">
        <f>Table4[[#This Row],[total_cost_eur]]/Table4[[#This Row],[pv_kWp]]</f>
        <v>2192.0548571428571</v>
      </c>
      <c r="R357" s="1"/>
      <c r="S357" s="1"/>
      <c r="T357" s="1">
        <v>175</v>
      </c>
      <c r="U357" s="1"/>
      <c r="V357" s="1"/>
      <c r="W357" s="1"/>
      <c r="X357" s="1"/>
      <c r="Y357" s="1"/>
      <c r="Z357" s="1"/>
      <c r="AA357" s="1"/>
      <c r="AB357" s="1"/>
      <c r="AC357" s="1"/>
      <c r="AD357" s="1">
        <v>200</v>
      </c>
      <c r="AE357" s="1"/>
      <c r="AF357" s="1"/>
      <c r="AG357" s="1"/>
      <c r="AH357" s="6"/>
      <c r="AI357" s="1"/>
      <c r="AJ357" s="1"/>
      <c r="AK357" s="1"/>
      <c r="AL357" s="1"/>
      <c r="AM357" s="1"/>
      <c r="AN357" s="1"/>
      <c r="AO357" s="1"/>
      <c r="AP357" s="1"/>
      <c r="AQ357" s="1"/>
      <c r="AR357" s="1"/>
      <c r="AS357" s="1" t="s">
        <v>479</v>
      </c>
      <c r="AT357" s="1" t="s">
        <v>482</v>
      </c>
      <c r="AU357" s="1">
        <v>0.75</v>
      </c>
      <c r="AV357" s="1">
        <v>767</v>
      </c>
      <c r="AW357" s="1">
        <v>195000</v>
      </c>
      <c r="AX357" s="1">
        <v>53690</v>
      </c>
      <c r="AY357" s="1">
        <v>163919.59999999998</v>
      </c>
      <c r="AZ357" s="1">
        <v>0.16</v>
      </c>
      <c r="BA357" s="1">
        <v>8</v>
      </c>
      <c r="BB357" s="1">
        <v>361000</v>
      </c>
      <c r="BC357" s="1">
        <v>383609.59999999998</v>
      </c>
      <c r="BD357" s="1">
        <v>12185</v>
      </c>
      <c r="BE357" s="1">
        <v>175</v>
      </c>
      <c r="BF357" s="1">
        <v>200</v>
      </c>
      <c r="BG357" s="1">
        <v>0.21</v>
      </c>
      <c r="BH357" s="1" t="s">
        <v>483</v>
      </c>
      <c r="BI357" s="1"/>
      <c r="BJ357" s="1">
        <v>20489.949999999997</v>
      </c>
      <c r="BK357" s="1"/>
    </row>
    <row r="358" spans="1:63" ht="16" thickBot="1" x14ac:dyDescent="0.25">
      <c r="A358" s="3">
        <v>358</v>
      </c>
      <c r="B358" s="3" t="s">
        <v>477</v>
      </c>
      <c r="C358" s="3" t="s">
        <v>543</v>
      </c>
      <c r="D358" s="1" t="s">
        <v>478</v>
      </c>
      <c r="E358" s="1"/>
      <c r="F358" s="1"/>
      <c r="G358" s="1" t="s">
        <v>102</v>
      </c>
      <c r="H358" s="1" t="s">
        <v>114</v>
      </c>
      <c r="I358" s="1"/>
      <c r="J358" s="113">
        <f>Table4[[#This Row],[total_cost_npr]]*(1/'Calculations &amp; Assumptions'!$C$6)</f>
        <v>402919.5381062355</v>
      </c>
      <c r="K358" s="113">
        <f>Table4[[#This Row],[system_cost_npr_per_kwp]]*(1/'Calculations &amp; Assumptions'!$C$6)</f>
        <v>2166.234075839976</v>
      </c>
      <c r="L358" s="23">
        <f>IF(Table4[[#This Row],[total_cost_inr]]&gt;0, Table4[[#This Row],[total_cost_inr]]*'Calculations &amp; Assumptions'!$C$7,IF(Table4[[#This Row],[total_cost_eur]]&gt;0,Table4[[#This Row],[total_cost_eur]]*'Calculations &amp; Assumptions'!$C$5,0))</f>
        <v>52339248</v>
      </c>
      <c r="M358" s="77">
        <f>IF(H358="smartmeter_1ph",Table4[[#This Row],[total_cost_npr]],Table4[[#This Row],[total_cost_npr]]/Table4[[#This Row],[pv_kWp]])</f>
        <v>281393.80645161291</v>
      </c>
      <c r="N358" s="1"/>
      <c r="O358" s="90">
        <f>Table4[[#This Row],[total_cost_inr]]/Table4[[#This Row],[pv_kWp]]</f>
        <v>0</v>
      </c>
      <c r="P358" s="1">
        <v>402609.6</v>
      </c>
      <c r="Q358" s="3">
        <f>Table4[[#This Row],[total_cost_eur]]/Table4[[#This Row],[pv_kWp]]</f>
        <v>2164.5677419354838</v>
      </c>
      <c r="R358" s="1"/>
      <c r="S358" s="1"/>
      <c r="T358" s="1">
        <v>186</v>
      </c>
      <c r="U358" s="1"/>
      <c r="V358" s="1"/>
      <c r="W358" s="1"/>
      <c r="X358" s="1"/>
      <c r="Y358" s="1"/>
      <c r="Z358" s="1"/>
      <c r="AA358" s="1"/>
      <c r="AB358" s="1"/>
      <c r="AC358" s="1"/>
      <c r="AD358" s="1">
        <v>233</v>
      </c>
      <c r="AE358" s="1"/>
      <c r="AF358" s="1"/>
      <c r="AG358" s="1"/>
      <c r="AH358" s="6"/>
      <c r="AI358" s="1"/>
      <c r="AJ358" s="1"/>
      <c r="AK358" s="1"/>
      <c r="AL358" s="1"/>
      <c r="AM358" s="1"/>
      <c r="AN358" s="1"/>
      <c r="AO358" s="1"/>
      <c r="AP358" s="1"/>
      <c r="AQ358" s="1"/>
      <c r="AR358" s="1"/>
      <c r="AS358" s="1" t="s">
        <v>479</v>
      </c>
      <c r="AT358" s="1" t="s">
        <v>482</v>
      </c>
      <c r="AU358" s="1">
        <v>0.8</v>
      </c>
      <c r="AV358" s="1">
        <v>767</v>
      </c>
      <c r="AW358" s="1">
        <v>195000</v>
      </c>
      <c r="AX358" s="1">
        <v>53690</v>
      </c>
      <c r="AY358" s="1">
        <v>163919.59999999998</v>
      </c>
      <c r="AZ358" s="1">
        <v>0.16</v>
      </c>
      <c r="BA358" s="1">
        <v>8</v>
      </c>
      <c r="BB358" s="1">
        <v>380000</v>
      </c>
      <c r="BC358" s="1">
        <v>402609.6</v>
      </c>
      <c r="BD358" s="1">
        <v>9745</v>
      </c>
      <c r="BE358" s="1">
        <v>186</v>
      </c>
      <c r="BF358" s="1">
        <v>233</v>
      </c>
      <c r="BG358" s="1">
        <v>0.21</v>
      </c>
      <c r="BH358" s="1" t="s">
        <v>483</v>
      </c>
      <c r="BI358" s="1"/>
      <c r="BJ358" s="1">
        <v>20489.949999999997</v>
      </c>
      <c r="BK358" s="1"/>
    </row>
    <row r="359" spans="1:63" ht="16" thickBot="1" x14ac:dyDescent="0.25">
      <c r="A359" s="3">
        <v>359</v>
      </c>
      <c r="B359" s="3" t="s">
        <v>477</v>
      </c>
      <c r="C359" s="3" t="s">
        <v>543</v>
      </c>
      <c r="D359" s="1" t="s">
        <v>478</v>
      </c>
      <c r="E359" s="1"/>
      <c r="F359" s="1"/>
      <c r="G359" s="1" t="s">
        <v>102</v>
      </c>
      <c r="H359" s="1" t="s">
        <v>114</v>
      </c>
      <c r="I359" s="1"/>
      <c r="J359" s="113">
        <f>Table4[[#This Row],[total_cost_npr]]*(1/'Calculations &amp; Assumptions'!$C$6)</f>
        <v>422934.93456505</v>
      </c>
      <c r="K359" s="113">
        <f>Table4[[#This Row],[system_cost_npr_per_kwp]]*(1/'Calculations &amp; Assumptions'!$C$6)</f>
        <v>2104.1539033087065</v>
      </c>
      <c r="L359" s="23">
        <f>IF(Table4[[#This Row],[total_cost_inr]]&gt;0, Table4[[#This Row],[total_cost_inr]]*'Calculations &amp; Assumptions'!$C$7,IF(Table4[[#This Row],[total_cost_eur]]&gt;0,Table4[[#This Row],[total_cost_eur]]*'Calculations &amp; Assumptions'!$C$5,0))</f>
        <v>54939248</v>
      </c>
      <c r="M359" s="77">
        <f>IF(H359="smartmeter_1ph",Table4[[#This Row],[total_cost_npr]],Table4[[#This Row],[total_cost_npr]]/Table4[[#This Row],[pv_kWp]])</f>
        <v>273329.59203980101</v>
      </c>
      <c r="N359" s="1"/>
      <c r="O359" s="90">
        <f>Table4[[#This Row],[total_cost_inr]]/Table4[[#This Row],[pv_kWp]]</f>
        <v>0</v>
      </c>
      <c r="P359" s="1">
        <v>422609.6</v>
      </c>
      <c r="Q359" s="3">
        <f>Table4[[#This Row],[total_cost_eur]]/Table4[[#This Row],[pv_kWp]]</f>
        <v>2102.5353233830847</v>
      </c>
      <c r="R359" s="1"/>
      <c r="S359" s="1"/>
      <c r="T359" s="1">
        <v>201</v>
      </c>
      <c r="U359" s="1"/>
      <c r="V359" s="1"/>
      <c r="W359" s="1"/>
      <c r="X359" s="1"/>
      <c r="Y359" s="1"/>
      <c r="Z359" s="1"/>
      <c r="AA359" s="1"/>
      <c r="AB359" s="1"/>
      <c r="AC359" s="1"/>
      <c r="AD359" s="1">
        <v>265</v>
      </c>
      <c r="AE359" s="1"/>
      <c r="AF359" s="1"/>
      <c r="AG359" s="1"/>
      <c r="AH359" s="6"/>
      <c r="AI359" s="1"/>
      <c r="AJ359" s="1"/>
      <c r="AK359" s="1"/>
      <c r="AL359" s="1"/>
      <c r="AM359" s="1"/>
      <c r="AN359" s="1"/>
      <c r="AO359" s="1"/>
      <c r="AP359" s="1"/>
      <c r="AQ359" s="1"/>
      <c r="AR359" s="1"/>
      <c r="AS359" s="1" t="s">
        <v>479</v>
      </c>
      <c r="AT359" s="1" t="s">
        <v>482</v>
      </c>
      <c r="AU359" s="1">
        <v>0.85</v>
      </c>
      <c r="AV359" s="1">
        <v>767</v>
      </c>
      <c r="AW359" s="1">
        <v>195000</v>
      </c>
      <c r="AX359" s="1">
        <v>53690</v>
      </c>
      <c r="AY359" s="1">
        <v>163919.59999999998</v>
      </c>
      <c r="AZ359" s="1">
        <v>0.16</v>
      </c>
      <c r="BA359" s="1">
        <v>8</v>
      </c>
      <c r="BB359" s="1">
        <v>400000</v>
      </c>
      <c r="BC359" s="1">
        <v>422609.6</v>
      </c>
      <c r="BD359" s="1">
        <v>7318</v>
      </c>
      <c r="BE359" s="1">
        <v>201</v>
      </c>
      <c r="BF359" s="1">
        <v>265</v>
      </c>
      <c r="BG359" s="1">
        <v>0.21</v>
      </c>
      <c r="BH359" s="1" t="s">
        <v>483</v>
      </c>
      <c r="BI359" s="1"/>
      <c r="BJ359" s="1">
        <v>20489.949999999997</v>
      </c>
      <c r="BK359" s="1"/>
    </row>
    <row r="360" spans="1:63" ht="16" thickBot="1" x14ac:dyDescent="0.25">
      <c r="A360" s="3">
        <v>360</v>
      </c>
      <c r="B360" s="3" t="s">
        <v>477</v>
      </c>
      <c r="C360" s="3" t="s">
        <v>543</v>
      </c>
      <c r="D360" s="1" t="s">
        <v>478</v>
      </c>
      <c r="E360" s="1"/>
      <c r="F360" s="1"/>
      <c r="G360" s="1" t="s">
        <v>102</v>
      </c>
      <c r="H360" s="1" t="s">
        <v>114</v>
      </c>
      <c r="I360" s="1"/>
      <c r="J360" s="113">
        <f>Table4[[#This Row],[total_cost_npr]]*(1/'Calculations &amp; Assumptions'!$C$6)</f>
        <v>445952.64049268665</v>
      </c>
      <c r="K360" s="113">
        <f>Table4[[#This Row],[system_cost_npr_per_kwp]]*(1/'Calculations &amp; Assumptions'!$C$6)</f>
        <v>2008.7956778949849</v>
      </c>
      <c r="L360" s="23">
        <f>IF(Table4[[#This Row],[total_cost_inr]]&gt;0, Table4[[#This Row],[total_cost_inr]]*'Calculations &amp; Assumptions'!$C$7,IF(Table4[[#This Row],[total_cost_eur]]&gt;0,Table4[[#This Row],[total_cost_eur]]*'Calculations &amp; Assumptions'!$C$5,0))</f>
        <v>57929248</v>
      </c>
      <c r="M360" s="77">
        <f>IF(H360="smartmeter_1ph",Table4[[#This Row],[total_cost_npr]],Table4[[#This Row],[total_cost_npr]]/Table4[[#This Row],[pv_kWp]])</f>
        <v>260942.55855855855</v>
      </c>
      <c r="N360" s="1"/>
      <c r="O360" s="90">
        <f>Table4[[#This Row],[total_cost_inr]]/Table4[[#This Row],[pv_kWp]]</f>
        <v>0</v>
      </c>
      <c r="P360" s="1">
        <v>445609.6</v>
      </c>
      <c r="Q360" s="3">
        <f>Table4[[#This Row],[total_cost_eur]]/Table4[[#This Row],[pv_kWp]]</f>
        <v>2007.2504504504504</v>
      </c>
      <c r="R360" s="1"/>
      <c r="S360" s="1"/>
      <c r="T360" s="1">
        <v>222</v>
      </c>
      <c r="U360" s="1"/>
      <c r="V360" s="1"/>
      <c r="W360" s="1"/>
      <c r="X360" s="1"/>
      <c r="Y360" s="1"/>
      <c r="Z360" s="1"/>
      <c r="AA360" s="1"/>
      <c r="AB360" s="1"/>
      <c r="AC360" s="1"/>
      <c r="AD360" s="1">
        <v>302</v>
      </c>
      <c r="AE360" s="1"/>
      <c r="AF360" s="1"/>
      <c r="AG360" s="1"/>
      <c r="AH360" s="6"/>
      <c r="AI360" s="1"/>
      <c r="AJ360" s="1"/>
      <c r="AK360" s="1"/>
      <c r="AL360" s="1"/>
      <c r="AM360" s="1"/>
      <c r="AN360" s="1"/>
      <c r="AO360" s="1"/>
      <c r="AP360" s="1"/>
      <c r="AQ360" s="1"/>
      <c r="AR360" s="1"/>
      <c r="AS360" s="1" t="s">
        <v>479</v>
      </c>
      <c r="AT360" s="1" t="s">
        <v>482</v>
      </c>
      <c r="AU360" s="1">
        <v>0.9</v>
      </c>
      <c r="AV360" s="1">
        <v>767</v>
      </c>
      <c r="AW360" s="1">
        <v>195000</v>
      </c>
      <c r="AX360" s="1">
        <v>53690</v>
      </c>
      <c r="AY360" s="1">
        <v>163919.59999999998</v>
      </c>
      <c r="AZ360" s="1">
        <v>0.16</v>
      </c>
      <c r="BA360" s="1">
        <v>8</v>
      </c>
      <c r="BB360" s="1">
        <v>423000</v>
      </c>
      <c r="BC360" s="1">
        <v>445609.6</v>
      </c>
      <c r="BD360" s="1">
        <v>4857</v>
      </c>
      <c r="BE360" s="1">
        <v>222</v>
      </c>
      <c r="BF360" s="1">
        <v>302</v>
      </c>
      <c r="BG360" s="1">
        <v>0.21</v>
      </c>
      <c r="BH360" s="1" t="s">
        <v>483</v>
      </c>
      <c r="BI360" s="1"/>
      <c r="BJ360" s="1">
        <v>20489.949999999997</v>
      </c>
      <c r="BK360" s="1"/>
    </row>
    <row r="361" spans="1:63" ht="30" thickBot="1" x14ac:dyDescent="0.25">
      <c r="A361" s="3">
        <v>361</v>
      </c>
      <c r="B361" s="3" t="s">
        <v>477</v>
      </c>
      <c r="C361" s="3" t="s">
        <v>543</v>
      </c>
      <c r="D361" s="1" t="s">
        <v>478</v>
      </c>
      <c r="E361" s="1"/>
      <c r="F361" s="1"/>
      <c r="G361" s="1" t="s">
        <v>102</v>
      </c>
      <c r="H361" s="1" t="s">
        <v>114</v>
      </c>
      <c r="I361" s="1"/>
      <c r="J361" s="113">
        <f>Table4[[#This Row],[total_cost_npr]]*(1/'Calculations &amp; Assumptions'!$C$6)</f>
        <v>319761.57043879904</v>
      </c>
      <c r="K361" s="113">
        <f>Table4[[#This Row],[system_cost_npr_per_kwp]]*(1/'Calculations &amp; Assumptions'!$C$6)</f>
        <v>21317.43802925327</v>
      </c>
      <c r="L361" s="23">
        <f>IF(Table4[[#This Row],[total_cost_inr]]&gt;0, Table4[[#This Row],[total_cost_inr]]*'Calculations &amp; Assumptions'!$C$7,IF(Table4[[#This Row],[total_cost_eur]]&gt;0,Table4[[#This Row],[total_cost_eur]]*'Calculations &amp; Assumptions'!$C$5,0))</f>
        <v>41537028</v>
      </c>
      <c r="M361" s="77">
        <f>IF(H361="smartmeter_1ph",Table4[[#This Row],[total_cost_npr]],Table4[[#This Row],[total_cost_npr]]/Table4[[#This Row],[pv_kWp]])</f>
        <v>2769135.2</v>
      </c>
      <c r="N361" s="1"/>
      <c r="O361" s="90">
        <f>Table4[[#This Row],[total_cost_inr]]/Table4[[#This Row],[pv_kWp]]</f>
        <v>0</v>
      </c>
      <c r="P361" s="1">
        <v>319515.59999999998</v>
      </c>
      <c r="Q361" s="3">
        <f>Table4[[#This Row],[total_cost_eur]]/Table4[[#This Row],[pv_kWp]]</f>
        <v>21301.039999999997</v>
      </c>
      <c r="R361" s="1"/>
      <c r="S361" s="1"/>
      <c r="T361" s="1">
        <v>15</v>
      </c>
      <c r="U361" s="1"/>
      <c r="V361" s="1"/>
      <c r="W361" s="1"/>
      <c r="X361" s="1"/>
      <c r="Y361" s="1"/>
      <c r="Z361" s="1"/>
      <c r="AA361" s="1"/>
      <c r="AB361" s="1"/>
      <c r="AC361" s="1"/>
      <c r="AD361" s="1">
        <v>5</v>
      </c>
      <c r="AE361" s="1"/>
      <c r="AF361" s="1"/>
      <c r="AG361" s="1"/>
      <c r="AH361" s="6"/>
      <c r="AI361" s="1"/>
      <c r="AJ361" s="1"/>
      <c r="AK361" s="1"/>
      <c r="AL361" s="1"/>
      <c r="AM361" s="1"/>
      <c r="AN361" s="1"/>
      <c r="AO361" s="1"/>
      <c r="AP361" s="1"/>
      <c r="AQ361" s="1"/>
      <c r="AR361" s="1"/>
      <c r="AS361" s="1" t="s">
        <v>479</v>
      </c>
      <c r="AT361" s="1" t="s">
        <v>484</v>
      </c>
      <c r="AU361" s="1">
        <v>0.1</v>
      </c>
      <c r="AV361" s="1">
        <v>876</v>
      </c>
      <c r="AW361" s="1">
        <v>180000</v>
      </c>
      <c r="AX361" s="1">
        <v>61320</v>
      </c>
      <c r="AY361" s="1">
        <v>198195.6</v>
      </c>
      <c r="AZ361" s="1">
        <v>0.67</v>
      </c>
      <c r="BA361" s="1">
        <v>10</v>
      </c>
      <c r="BB361" s="1">
        <v>240000</v>
      </c>
      <c r="BC361" s="1">
        <v>319515.59999999998</v>
      </c>
      <c r="BD361" s="1">
        <v>58004</v>
      </c>
      <c r="BE361" s="1">
        <v>15</v>
      </c>
      <c r="BF361" s="1">
        <v>5</v>
      </c>
      <c r="BG361" s="1">
        <v>0.22</v>
      </c>
      <c r="BH361" s="1" t="s">
        <v>481</v>
      </c>
      <c r="BI361" s="1"/>
      <c r="BJ361" s="1">
        <v>19819.560000000001</v>
      </c>
      <c r="BK361" s="1"/>
    </row>
    <row r="362" spans="1:63" ht="30" thickBot="1" x14ac:dyDescent="0.25">
      <c r="A362" s="3">
        <v>362</v>
      </c>
      <c r="B362" s="3" t="s">
        <v>477</v>
      </c>
      <c r="C362" s="3" t="s">
        <v>543</v>
      </c>
      <c r="D362" s="1" t="s">
        <v>478</v>
      </c>
      <c r="E362" s="1"/>
      <c r="F362" s="1"/>
      <c r="G362" s="1" t="s">
        <v>102</v>
      </c>
      <c r="H362" s="1" t="s">
        <v>114</v>
      </c>
      <c r="I362" s="1"/>
      <c r="J362" s="113">
        <f>Table4[[#This Row],[total_cost_npr]]*(1/'Calculations &amp; Assumptions'!$C$6)</f>
        <v>324765.41955350264</v>
      </c>
      <c r="K362" s="113">
        <f>Table4[[#This Row],[system_cost_npr_per_kwp]]*(1/'Calculations &amp; Assumptions'!$C$6)</f>
        <v>12990.616782140107</v>
      </c>
      <c r="L362" s="23">
        <f>IF(Table4[[#This Row],[total_cost_inr]]&gt;0, Table4[[#This Row],[total_cost_inr]]*'Calculations &amp; Assumptions'!$C$7,IF(Table4[[#This Row],[total_cost_eur]]&gt;0,Table4[[#This Row],[total_cost_eur]]*'Calculations &amp; Assumptions'!$C$5,0))</f>
        <v>42187028</v>
      </c>
      <c r="M362" s="77">
        <f>IF(H362="smartmeter_1ph",Table4[[#This Row],[total_cost_npr]],Table4[[#This Row],[total_cost_npr]]/Table4[[#This Row],[pv_kWp]])</f>
        <v>1687481.12</v>
      </c>
      <c r="N362" s="1"/>
      <c r="O362" s="90">
        <f>Table4[[#This Row],[total_cost_inr]]/Table4[[#This Row],[pv_kWp]]</f>
        <v>0</v>
      </c>
      <c r="P362" s="1">
        <v>324515.59999999998</v>
      </c>
      <c r="Q362" s="3">
        <f>Table4[[#This Row],[total_cost_eur]]/Table4[[#This Row],[pv_kWp]]</f>
        <v>12980.624</v>
      </c>
      <c r="R362" s="1"/>
      <c r="S362" s="1"/>
      <c r="T362" s="1">
        <v>25</v>
      </c>
      <c r="U362" s="1"/>
      <c r="V362" s="1"/>
      <c r="W362" s="1"/>
      <c r="X362" s="1"/>
      <c r="Y362" s="1"/>
      <c r="Z362" s="1"/>
      <c r="AA362" s="1"/>
      <c r="AB362" s="1"/>
      <c r="AC362" s="1"/>
      <c r="AD362" s="1">
        <v>5</v>
      </c>
      <c r="AE362" s="1"/>
      <c r="AF362" s="1"/>
      <c r="AG362" s="1"/>
      <c r="AH362" s="6"/>
      <c r="AI362" s="1"/>
      <c r="AJ362" s="1"/>
      <c r="AK362" s="1"/>
      <c r="AL362" s="1"/>
      <c r="AM362" s="1"/>
      <c r="AN362" s="1"/>
      <c r="AO362" s="1"/>
      <c r="AP362" s="1"/>
      <c r="AQ362" s="1"/>
      <c r="AR362" s="1"/>
      <c r="AS362" s="1" t="s">
        <v>479</v>
      </c>
      <c r="AT362" s="1" t="s">
        <v>484</v>
      </c>
      <c r="AU362" s="1">
        <v>0.15</v>
      </c>
      <c r="AV362" s="1">
        <v>876</v>
      </c>
      <c r="AW362" s="1">
        <v>180000</v>
      </c>
      <c r="AX362" s="1">
        <v>61320</v>
      </c>
      <c r="AY362" s="1">
        <v>198195.6</v>
      </c>
      <c r="AZ362" s="1">
        <v>0.67</v>
      </c>
      <c r="BA362" s="1">
        <v>10</v>
      </c>
      <c r="BB362" s="1">
        <v>245000</v>
      </c>
      <c r="BC362" s="1">
        <v>324515.59999999998</v>
      </c>
      <c r="BD362" s="1">
        <v>54704</v>
      </c>
      <c r="BE362" s="1">
        <v>25</v>
      </c>
      <c r="BF362" s="1">
        <v>5</v>
      </c>
      <c r="BG362" s="1">
        <v>0.22</v>
      </c>
      <c r="BH362" s="1" t="s">
        <v>481</v>
      </c>
      <c r="BI362" s="1"/>
      <c r="BJ362" s="1">
        <v>19819.560000000001</v>
      </c>
      <c r="BK362" s="1"/>
    </row>
    <row r="363" spans="1:63" ht="30" thickBot="1" x14ac:dyDescent="0.25">
      <c r="A363" s="3">
        <v>363</v>
      </c>
      <c r="B363" s="3" t="s">
        <v>477</v>
      </c>
      <c r="C363" s="3" t="s">
        <v>543</v>
      </c>
      <c r="D363" s="1" t="s">
        <v>478</v>
      </c>
      <c r="E363" s="1"/>
      <c r="F363" s="1"/>
      <c r="G363" s="1" t="s">
        <v>102</v>
      </c>
      <c r="H363" s="1" t="s">
        <v>114</v>
      </c>
      <c r="I363" s="1"/>
      <c r="J363" s="113">
        <f>Table4[[#This Row],[total_cost_npr]]*(1/'Calculations &amp; Assumptions'!$C$6)</f>
        <v>328768.49884526554</v>
      </c>
      <c r="K363" s="113">
        <f>Table4[[#This Row],[system_cost_npr_per_kwp]]*(1/'Calculations &amp; Assumptions'!$C$6)</f>
        <v>9393.3856812933027</v>
      </c>
      <c r="L363" s="23">
        <f>IF(Table4[[#This Row],[total_cost_inr]]&gt;0, Table4[[#This Row],[total_cost_inr]]*'Calculations &amp; Assumptions'!$C$7,IF(Table4[[#This Row],[total_cost_eur]]&gt;0,Table4[[#This Row],[total_cost_eur]]*'Calculations &amp; Assumptions'!$C$5,0))</f>
        <v>42707028</v>
      </c>
      <c r="M363" s="77">
        <f>IF(H363="smartmeter_1ph",Table4[[#This Row],[total_cost_npr]],Table4[[#This Row],[total_cost_npr]]/Table4[[#This Row],[pv_kWp]])</f>
        <v>1220200.8</v>
      </c>
      <c r="N363" s="1"/>
      <c r="O363" s="90">
        <f>Table4[[#This Row],[total_cost_inr]]/Table4[[#This Row],[pv_kWp]]</f>
        <v>0</v>
      </c>
      <c r="P363" s="1">
        <v>328515.59999999998</v>
      </c>
      <c r="Q363" s="3">
        <f>Table4[[#This Row],[total_cost_eur]]/Table4[[#This Row],[pv_kWp]]</f>
        <v>9386.16</v>
      </c>
      <c r="R363" s="1"/>
      <c r="S363" s="1"/>
      <c r="T363" s="1">
        <v>35</v>
      </c>
      <c r="U363" s="1"/>
      <c r="V363" s="1"/>
      <c r="W363" s="1"/>
      <c r="X363" s="1"/>
      <c r="Y363" s="1"/>
      <c r="Z363" s="1"/>
      <c r="AA363" s="1"/>
      <c r="AB363" s="1"/>
      <c r="AC363" s="1"/>
      <c r="AD363" s="1">
        <v>5</v>
      </c>
      <c r="AE363" s="1"/>
      <c r="AF363" s="1"/>
      <c r="AG363" s="1"/>
      <c r="AH363" s="6"/>
      <c r="AI363" s="1"/>
      <c r="AJ363" s="1"/>
      <c r="AK363" s="1"/>
      <c r="AL363" s="1"/>
      <c r="AM363" s="1"/>
      <c r="AN363" s="1"/>
      <c r="AO363" s="1"/>
      <c r="AP363" s="1"/>
      <c r="AQ363" s="1"/>
      <c r="AR363" s="1"/>
      <c r="AS363" s="1" t="s">
        <v>479</v>
      </c>
      <c r="AT363" s="1" t="s">
        <v>484</v>
      </c>
      <c r="AU363" s="1">
        <v>0.2</v>
      </c>
      <c r="AV363" s="1">
        <v>876</v>
      </c>
      <c r="AW363" s="1">
        <v>180000</v>
      </c>
      <c r="AX363" s="1">
        <v>61320</v>
      </c>
      <c r="AY363" s="1">
        <v>198195.6</v>
      </c>
      <c r="AZ363" s="1">
        <v>0.67</v>
      </c>
      <c r="BA363" s="1">
        <v>10</v>
      </c>
      <c r="BB363" s="1">
        <v>249000</v>
      </c>
      <c r="BC363" s="1">
        <v>328515.59999999998</v>
      </c>
      <c r="BD363" s="1">
        <v>52327</v>
      </c>
      <c r="BE363" s="1">
        <v>35</v>
      </c>
      <c r="BF363" s="1">
        <v>5</v>
      </c>
      <c r="BG363" s="1">
        <v>0.22</v>
      </c>
      <c r="BH363" s="1" t="s">
        <v>481</v>
      </c>
      <c r="BI363" s="1"/>
      <c r="BJ363" s="1">
        <v>19819.560000000001</v>
      </c>
      <c r="BK363" s="1"/>
    </row>
    <row r="364" spans="1:63" ht="30" thickBot="1" x14ac:dyDescent="0.25">
      <c r="A364" s="3">
        <v>364</v>
      </c>
      <c r="B364" s="3" t="s">
        <v>477</v>
      </c>
      <c r="C364" s="3" t="s">
        <v>543</v>
      </c>
      <c r="D364" s="1" t="s">
        <v>478</v>
      </c>
      <c r="E364" s="1"/>
      <c r="F364" s="1"/>
      <c r="G364" s="1" t="s">
        <v>102</v>
      </c>
      <c r="H364" s="1" t="s">
        <v>114</v>
      </c>
      <c r="I364" s="1"/>
      <c r="J364" s="113">
        <f>Table4[[#This Row],[total_cost_npr]]*(1/'Calculations &amp; Assumptions'!$C$6)</f>
        <v>352786.97459584294</v>
      </c>
      <c r="K364" s="113">
        <f>Table4[[#This Row],[system_cost_npr_per_kwp]]*(1/'Calculations &amp; Assumptions'!$C$6)</f>
        <v>5039.8139227977563</v>
      </c>
      <c r="L364" s="23">
        <f>IF(Table4[[#This Row],[total_cost_inr]]&gt;0, Table4[[#This Row],[total_cost_inr]]*'Calculations &amp; Assumptions'!$C$7,IF(Table4[[#This Row],[total_cost_eur]]&gt;0,Table4[[#This Row],[total_cost_eur]]*'Calculations &amp; Assumptions'!$C$5,0))</f>
        <v>45827028</v>
      </c>
      <c r="M364" s="77">
        <f>IF(H364="smartmeter_1ph",Table4[[#This Row],[total_cost_npr]],Table4[[#This Row],[total_cost_npr]]/Table4[[#This Row],[pv_kWp]])</f>
        <v>654671.82857142854</v>
      </c>
      <c r="N364" s="1"/>
      <c r="O364" s="90">
        <f>Table4[[#This Row],[total_cost_inr]]/Table4[[#This Row],[pv_kWp]]</f>
        <v>0</v>
      </c>
      <c r="P364" s="1">
        <v>352515.6</v>
      </c>
      <c r="Q364" s="3">
        <f>Table4[[#This Row],[total_cost_eur]]/Table4[[#This Row],[pv_kWp]]</f>
        <v>5035.9371428571421</v>
      </c>
      <c r="R364" s="1"/>
      <c r="S364" s="1"/>
      <c r="T364" s="1">
        <v>70</v>
      </c>
      <c r="U364" s="1"/>
      <c r="V364" s="1"/>
      <c r="W364" s="1"/>
      <c r="X364" s="1"/>
      <c r="Y364" s="1"/>
      <c r="Z364" s="1"/>
      <c r="AA364" s="1"/>
      <c r="AB364" s="1"/>
      <c r="AC364" s="1"/>
      <c r="AD364" s="1">
        <v>30</v>
      </c>
      <c r="AE364" s="1"/>
      <c r="AF364" s="1"/>
      <c r="AG364" s="1"/>
      <c r="AH364" s="6"/>
      <c r="AI364" s="1"/>
      <c r="AJ364" s="1"/>
      <c r="AK364" s="1"/>
      <c r="AL364" s="1"/>
      <c r="AM364" s="1"/>
      <c r="AN364" s="1"/>
      <c r="AO364" s="1"/>
      <c r="AP364" s="1"/>
      <c r="AQ364" s="1"/>
      <c r="AR364" s="1"/>
      <c r="AS364" s="1" t="s">
        <v>479</v>
      </c>
      <c r="AT364" s="1" t="s">
        <v>484</v>
      </c>
      <c r="AU364" s="1">
        <v>0.3</v>
      </c>
      <c r="AV364" s="1">
        <v>876</v>
      </c>
      <c r="AW364" s="1">
        <v>180000</v>
      </c>
      <c r="AX364" s="1">
        <v>61320</v>
      </c>
      <c r="AY364" s="1">
        <v>198195.6</v>
      </c>
      <c r="AZ364" s="1">
        <v>0.67</v>
      </c>
      <c r="BA364" s="1">
        <v>10</v>
      </c>
      <c r="BB364" s="1">
        <v>273000</v>
      </c>
      <c r="BC364" s="1">
        <v>352515.6</v>
      </c>
      <c r="BD364" s="1">
        <v>45824</v>
      </c>
      <c r="BE364" s="1">
        <v>70</v>
      </c>
      <c r="BF364" s="1">
        <v>30</v>
      </c>
      <c r="BG364" s="1">
        <v>0.22</v>
      </c>
      <c r="BH364" s="1" t="s">
        <v>481</v>
      </c>
      <c r="BI364" s="1"/>
      <c r="BJ364" s="1">
        <v>19819.560000000001</v>
      </c>
      <c r="BK364" s="1"/>
    </row>
    <row r="365" spans="1:63" ht="30" thickBot="1" x14ac:dyDescent="0.25">
      <c r="A365" s="3">
        <v>365</v>
      </c>
      <c r="B365" s="3" t="s">
        <v>477</v>
      </c>
      <c r="C365" s="3" t="s">
        <v>543</v>
      </c>
      <c r="D365" s="1" t="s">
        <v>478</v>
      </c>
      <c r="E365" s="1"/>
      <c r="F365" s="1"/>
      <c r="G365" s="1" t="s">
        <v>102</v>
      </c>
      <c r="H365" s="1" t="s">
        <v>114</v>
      </c>
      <c r="I365" s="1"/>
      <c r="J365" s="113">
        <f>Table4[[#This Row],[total_cost_npr]]*(1/'Calculations &amp; Assumptions'!$C$6)</f>
        <v>402825.46574287908</v>
      </c>
      <c r="K365" s="113">
        <f>Table4[[#This Row],[system_cost_npr_per_kwp]]*(1/'Calculations &amp; Assumptions'!$C$6)</f>
        <v>3472.6333253696471</v>
      </c>
      <c r="L365" s="23">
        <f>IF(Table4[[#This Row],[total_cost_inr]]&gt;0, Table4[[#This Row],[total_cost_inr]]*'Calculations &amp; Assumptions'!$C$7,IF(Table4[[#This Row],[total_cost_eur]]&gt;0,Table4[[#This Row],[total_cost_eur]]*'Calculations &amp; Assumptions'!$C$5,0))</f>
        <v>52327028</v>
      </c>
      <c r="M365" s="77">
        <f>IF(H365="smartmeter_1ph",Table4[[#This Row],[total_cost_npr]],Table4[[#This Row],[total_cost_npr]]/Table4[[#This Row],[pv_kWp]])</f>
        <v>451095.06896551722</v>
      </c>
      <c r="N365" s="1"/>
      <c r="O365" s="90">
        <f>Table4[[#This Row],[total_cost_inr]]/Table4[[#This Row],[pv_kWp]]</f>
        <v>0</v>
      </c>
      <c r="P365" s="1">
        <v>402515.6</v>
      </c>
      <c r="Q365" s="3">
        <f>Table4[[#This Row],[total_cost_eur]]/Table4[[#This Row],[pv_kWp]]</f>
        <v>3469.9620689655171</v>
      </c>
      <c r="R365" s="1"/>
      <c r="S365" s="1"/>
      <c r="T365" s="1">
        <v>116</v>
      </c>
      <c r="U365" s="1"/>
      <c r="V365" s="1"/>
      <c r="W365" s="1"/>
      <c r="X365" s="1"/>
      <c r="Y365" s="1"/>
      <c r="Z365" s="1"/>
      <c r="AA365" s="1"/>
      <c r="AB365" s="1"/>
      <c r="AC365" s="1"/>
      <c r="AD365" s="1">
        <v>81</v>
      </c>
      <c r="AE365" s="1"/>
      <c r="AF365" s="1"/>
      <c r="AG365" s="1"/>
      <c r="AH365" s="6"/>
      <c r="AI365" s="1"/>
      <c r="AJ365" s="1"/>
      <c r="AK365" s="1"/>
      <c r="AL365" s="1"/>
      <c r="AM365" s="1"/>
      <c r="AN365" s="1"/>
      <c r="AO365" s="1"/>
      <c r="AP365" s="1"/>
      <c r="AQ365" s="1"/>
      <c r="AR365" s="1"/>
      <c r="AS365" s="1" t="s">
        <v>479</v>
      </c>
      <c r="AT365" s="1" t="s">
        <v>484</v>
      </c>
      <c r="AU365" s="1">
        <v>0.45</v>
      </c>
      <c r="AV365" s="1">
        <v>876</v>
      </c>
      <c r="AW365" s="1">
        <v>180000</v>
      </c>
      <c r="AX365" s="1">
        <v>61320</v>
      </c>
      <c r="AY365" s="1">
        <v>198195.6</v>
      </c>
      <c r="AZ365" s="1">
        <v>0.67</v>
      </c>
      <c r="BA365" s="1">
        <v>10</v>
      </c>
      <c r="BB365" s="1">
        <v>323000</v>
      </c>
      <c r="BC365" s="1">
        <v>402515.6</v>
      </c>
      <c r="BD365" s="1">
        <v>35470</v>
      </c>
      <c r="BE365" s="1">
        <v>116</v>
      </c>
      <c r="BF365" s="1">
        <v>81</v>
      </c>
      <c r="BG365" s="1">
        <v>0.22</v>
      </c>
      <c r="BH365" s="1" t="s">
        <v>481</v>
      </c>
      <c r="BI365" s="1"/>
      <c r="BJ365" s="1">
        <v>19819.560000000001</v>
      </c>
      <c r="BK365" s="1"/>
    </row>
    <row r="366" spans="1:63" ht="30" thickBot="1" x14ac:dyDescent="0.25">
      <c r="A366" s="3">
        <v>366</v>
      </c>
      <c r="B366" s="3" t="s">
        <v>477</v>
      </c>
      <c r="C366" s="3" t="s">
        <v>543</v>
      </c>
      <c r="D366" s="1" t="s">
        <v>478</v>
      </c>
      <c r="E366" s="1"/>
      <c r="F366" s="1"/>
      <c r="G366" s="1" t="s">
        <v>102</v>
      </c>
      <c r="H366" s="1" t="s">
        <v>114</v>
      </c>
      <c r="I366" s="1"/>
      <c r="J366" s="113">
        <f>Table4[[#This Row],[total_cost_npr]]*(1/'Calculations &amp; Assumptions'!$C$6)</f>
        <v>384811.60892994609</v>
      </c>
      <c r="K366" s="113">
        <f>Table4[[#This Row],[system_cost_npr_per_kwp]]*(1/'Calculations &amp; Assumptions'!$C$6)</f>
        <v>3848.1160892994608</v>
      </c>
      <c r="L366" s="23">
        <f>IF(Table4[[#This Row],[total_cost_inr]]&gt;0, Table4[[#This Row],[total_cost_inr]]*'Calculations &amp; Assumptions'!$C$7,IF(Table4[[#This Row],[total_cost_eur]]&gt;0,Table4[[#This Row],[total_cost_eur]]*'Calculations &amp; Assumptions'!$C$5,0))</f>
        <v>49987028</v>
      </c>
      <c r="M366" s="77">
        <f>IF(H366="smartmeter_1ph",Table4[[#This Row],[total_cost_npr]],Table4[[#This Row],[total_cost_npr]]/Table4[[#This Row],[pv_kWp]])</f>
        <v>499870.28</v>
      </c>
      <c r="N366" s="1"/>
      <c r="O366" s="90">
        <f>Table4[[#This Row],[total_cost_inr]]/Table4[[#This Row],[pv_kWp]]</f>
        <v>0</v>
      </c>
      <c r="P366" s="1">
        <v>384515.6</v>
      </c>
      <c r="Q366" s="3">
        <f>Table4[[#This Row],[total_cost_eur]]/Table4[[#This Row],[pv_kWp]]</f>
        <v>3845.1559999999999</v>
      </c>
      <c r="R366" s="1"/>
      <c r="S366" s="1"/>
      <c r="T366" s="1">
        <v>100</v>
      </c>
      <c r="U366" s="1"/>
      <c r="V366" s="1"/>
      <c r="W366" s="1"/>
      <c r="X366" s="1"/>
      <c r="Y366" s="1"/>
      <c r="Z366" s="1"/>
      <c r="AA366" s="1"/>
      <c r="AB366" s="1"/>
      <c r="AC366" s="1"/>
      <c r="AD366" s="1">
        <v>60</v>
      </c>
      <c r="AE366" s="1"/>
      <c r="AF366" s="1"/>
      <c r="AG366" s="1"/>
      <c r="AH366" s="6"/>
      <c r="AI366" s="1"/>
      <c r="AJ366" s="1"/>
      <c r="AK366" s="1"/>
      <c r="AL366" s="1"/>
      <c r="AM366" s="1"/>
      <c r="AN366" s="1"/>
      <c r="AO366" s="1"/>
      <c r="AP366" s="1"/>
      <c r="AQ366" s="1"/>
      <c r="AR366" s="1"/>
      <c r="AS366" s="1" t="s">
        <v>479</v>
      </c>
      <c r="AT366" s="1" t="s">
        <v>484</v>
      </c>
      <c r="AU366" s="1">
        <v>0.4</v>
      </c>
      <c r="AV366" s="1">
        <v>876</v>
      </c>
      <c r="AW366" s="1">
        <v>180000</v>
      </c>
      <c r="AX366" s="1">
        <v>61320</v>
      </c>
      <c r="AY366" s="1">
        <v>198195.6</v>
      </c>
      <c r="AZ366" s="1">
        <v>0.67</v>
      </c>
      <c r="BA366" s="1">
        <v>10</v>
      </c>
      <c r="BB366" s="1">
        <v>305000</v>
      </c>
      <c r="BC366" s="1">
        <v>384515.6</v>
      </c>
      <c r="BD366" s="1">
        <v>38880</v>
      </c>
      <c r="BE366" s="1">
        <v>100</v>
      </c>
      <c r="BF366" s="1">
        <v>60</v>
      </c>
      <c r="BG366" s="1">
        <v>0.22</v>
      </c>
      <c r="BH366" s="1" t="s">
        <v>481</v>
      </c>
      <c r="BI366" s="1"/>
      <c r="BJ366" s="1">
        <v>19819.560000000001</v>
      </c>
      <c r="BK366" s="1"/>
    </row>
    <row r="367" spans="1:63" ht="30" thickBot="1" x14ac:dyDescent="0.25">
      <c r="A367" s="3">
        <v>367</v>
      </c>
      <c r="B367" s="3" t="s">
        <v>477</v>
      </c>
      <c r="C367" s="3" t="s">
        <v>543</v>
      </c>
      <c r="D367" s="1" t="s">
        <v>478</v>
      </c>
      <c r="E367" s="1"/>
      <c r="F367" s="1"/>
      <c r="G367" s="1" t="s">
        <v>102</v>
      </c>
      <c r="H367" s="1" t="s">
        <v>114</v>
      </c>
      <c r="I367" s="1"/>
      <c r="J367" s="113">
        <f>Table4[[#This Row],[total_cost_npr]]*(1/'Calculations &amp; Assumptions'!$C$6)</f>
        <v>369800.06158583524</v>
      </c>
      <c r="K367" s="113">
        <f>Table4[[#This Row],[system_cost_npr_per_kwp]]*(1/'Calculations &amp; Assumptions'!$C$6)</f>
        <v>4350.5889598333551</v>
      </c>
      <c r="L367" s="23">
        <f>IF(Table4[[#This Row],[total_cost_inr]]&gt;0, Table4[[#This Row],[total_cost_inr]]*'Calculations &amp; Assumptions'!$C$7,IF(Table4[[#This Row],[total_cost_eur]]&gt;0,Table4[[#This Row],[total_cost_eur]]*'Calculations &amp; Assumptions'!$C$5,0))</f>
        <v>48037028</v>
      </c>
      <c r="M367" s="77">
        <f>IF(H367="smartmeter_1ph",Table4[[#This Row],[total_cost_npr]],Table4[[#This Row],[total_cost_npr]]/Table4[[#This Row],[pv_kWp]])</f>
        <v>565141.50588235294</v>
      </c>
      <c r="N367" s="1"/>
      <c r="O367" s="90">
        <f>Table4[[#This Row],[total_cost_inr]]/Table4[[#This Row],[pv_kWp]]</f>
        <v>0</v>
      </c>
      <c r="P367" s="1">
        <v>369515.6</v>
      </c>
      <c r="Q367" s="3">
        <f>Table4[[#This Row],[total_cost_eur]]/Table4[[#This Row],[pv_kWp]]</f>
        <v>4347.2423529411763</v>
      </c>
      <c r="R367" s="1"/>
      <c r="S367" s="1"/>
      <c r="T367" s="1">
        <v>85</v>
      </c>
      <c r="U367" s="1"/>
      <c r="V367" s="1"/>
      <c r="W367" s="1"/>
      <c r="X367" s="1"/>
      <c r="Y367" s="1"/>
      <c r="Z367" s="1"/>
      <c r="AA367" s="1"/>
      <c r="AB367" s="1"/>
      <c r="AC367" s="1"/>
      <c r="AD367" s="1">
        <v>40</v>
      </c>
      <c r="AE367" s="1"/>
      <c r="AF367" s="1"/>
      <c r="AG367" s="1"/>
      <c r="AH367" s="6"/>
      <c r="AI367" s="1"/>
      <c r="AJ367" s="1"/>
      <c r="AK367" s="1"/>
      <c r="AL367" s="1"/>
      <c r="AM367" s="1"/>
      <c r="AN367" s="1"/>
      <c r="AO367" s="1"/>
      <c r="AP367" s="1"/>
      <c r="AQ367" s="1"/>
      <c r="AR367" s="1"/>
      <c r="AS367" s="1" t="s">
        <v>479</v>
      </c>
      <c r="AT367" s="1" t="s">
        <v>484</v>
      </c>
      <c r="AU367" s="1">
        <v>0.35</v>
      </c>
      <c r="AV367" s="1">
        <v>876</v>
      </c>
      <c r="AW367" s="1">
        <v>180000</v>
      </c>
      <c r="AX367" s="1">
        <v>61320</v>
      </c>
      <c r="AY367" s="1">
        <v>198195.6</v>
      </c>
      <c r="AZ367" s="1">
        <v>0.67</v>
      </c>
      <c r="BA367" s="1">
        <v>10</v>
      </c>
      <c r="BB367" s="1">
        <v>290000</v>
      </c>
      <c r="BC367" s="1">
        <v>369515.6</v>
      </c>
      <c r="BD367" s="1">
        <v>42832</v>
      </c>
      <c r="BE367" s="1">
        <v>85</v>
      </c>
      <c r="BF367" s="1">
        <v>40</v>
      </c>
      <c r="BG367" s="1">
        <v>0.22</v>
      </c>
      <c r="BH367" s="1" t="s">
        <v>481</v>
      </c>
      <c r="BI367" s="1"/>
      <c r="BJ367" s="1">
        <v>19819.560000000001</v>
      </c>
      <c r="BK367" s="1"/>
    </row>
    <row r="368" spans="1:63" ht="30" thickBot="1" x14ac:dyDescent="0.25">
      <c r="A368" s="3">
        <v>368</v>
      </c>
      <c r="B368" s="3" t="s">
        <v>477</v>
      </c>
      <c r="C368" s="3" t="s">
        <v>543</v>
      </c>
      <c r="D368" s="1" t="s">
        <v>478</v>
      </c>
      <c r="E368" s="1"/>
      <c r="F368" s="1"/>
      <c r="G368" s="1" t="s">
        <v>102</v>
      </c>
      <c r="H368" s="1" t="s">
        <v>114</v>
      </c>
      <c r="I368" s="1"/>
      <c r="J368" s="113">
        <f>Table4[[#This Row],[total_cost_npr]]*(1/'Calculations &amp; Assumptions'!$C$6)</f>
        <v>337775.42725173209</v>
      </c>
      <c r="K368" s="113">
        <f>Table4[[#This Row],[system_cost_npr_per_kwp]]*(1/'Calculations &amp; Assumptions'!$C$6)</f>
        <v>6755.5085450346414</v>
      </c>
      <c r="L368" s="23">
        <f>IF(Table4[[#This Row],[total_cost_inr]]&gt;0, Table4[[#This Row],[total_cost_inr]]*'Calculations &amp; Assumptions'!$C$7,IF(Table4[[#This Row],[total_cost_eur]]&gt;0,Table4[[#This Row],[total_cost_eur]]*'Calculations &amp; Assumptions'!$C$5,0))</f>
        <v>43877028</v>
      </c>
      <c r="M368" s="77">
        <f>IF(H368="smartmeter_1ph",Table4[[#This Row],[total_cost_npr]],Table4[[#This Row],[total_cost_npr]]/Table4[[#This Row],[pv_kWp]])</f>
        <v>877540.56</v>
      </c>
      <c r="N368" s="1"/>
      <c r="O368" s="90">
        <f>Table4[[#This Row],[total_cost_inr]]/Table4[[#This Row],[pv_kWp]]</f>
        <v>0</v>
      </c>
      <c r="P368" s="1">
        <v>337515.6</v>
      </c>
      <c r="Q368" s="3">
        <f>Table4[[#This Row],[total_cost_eur]]/Table4[[#This Row],[pv_kWp]]</f>
        <v>6750.3119999999999</v>
      </c>
      <c r="R368" s="1"/>
      <c r="S368" s="1"/>
      <c r="T368" s="1">
        <v>50</v>
      </c>
      <c r="U368" s="1"/>
      <c r="V368" s="1"/>
      <c r="W368" s="1"/>
      <c r="X368" s="1"/>
      <c r="Y368" s="1"/>
      <c r="Z368" s="1"/>
      <c r="AA368" s="1"/>
      <c r="AB368" s="1"/>
      <c r="AC368" s="1"/>
      <c r="AD368" s="1">
        <v>10</v>
      </c>
      <c r="AE368" s="1"/>
      <c r="AF368" s="1"/>
      <c r="AG368" s="1"/>
      <c r="AH368" s="6"/>
      <c r="AI368" s="1"/>
      <c r="AJ368" s="1"/>
      <c r="AK368" s="1"/>
      <c r="AL368" s="1"/>
      <c r="AM368" s="1"/>
      <c r="AN368" s="1"/>
      <c r="AO368" s="1"/>
      <c r="AP368" s="1"/>
      <c r="AQ368" s="1"/>
      <c r="AR368" s="1"/>
      <c r="AS368" s="1" t="s">
        <v>479</v>
      </c>
      <c r="AT368" s="1" t="s">
        <v>484</v>
      </c>
      <c r="AU368" s="1">
        <v>0.25</v>
      </c>
      <c r="AV368" s="1">
        <v>876</v>
      </c>
      <c r="AW368" s="1">
        <v>180000</v>
      </c>
      <c r="AX368" s="1">
        <v>61320</v>
      </c>
      <c r="AY368" s="1">
        <v>198195.6</v>
      </c>
      <c r="AZ368" s="1">
        <v>0.67</v>
      </c>
      <c r="BA368" s="1">
        <v>10</v>
      </c>
      <c r="BB368" s="1">
        <v>258000</v>
      </c>
      <c r="BC368" s="1">
        <v>337515.6</v>
      </c>
      <c r="BD368" s="1">
        <v>49268</v>
      </c>
      <c r="BE368" s="1">
        <v>50</v>
      </c>
      <c r="BF368" s="1">
        <v>10</v>
      </c>
      <c r="BG368" s="1">
        <v>0.22</v>
      </c>
      <c r="BH368" s="1" t="s">
        <v>481</v>
      </c>
      <c r="BI368" s="1"/>
      <c r="BJ368" s="1">
        <v>19819.560000000001</v>
      </c>
      <c r="BK368" s="1"/>
    </row>
    <row r="369" spans="1:63" ht="30" thickBot="1" x14ac:dyDescent="0.25">
      <c r="A369" s="3">
        <v>369</v>
      </c>
      <c r="B369" s="3" t="s">
        <v>477</v>
      </c>
      <c r="C369" s="3" t="s">
        <v>543</v>
      </c>
      <c r="D369" s="1" t="s">
        <v>478</v>
      </c>
      <c r="E369" s="1"/>
      <c r="F369" s="1"/>
      <c r="G369" s="1" t="s">
        <v>102</v>
      </c>
      <c r="H369" s="1" t="s">
        <v>114</v>
      </c>
      <c r="I369" s="1"/>
      <c r="J369" s="113">
        <f>Table4[[#This Row],[total_cost_npr]]*(1/'Calculations &amp; Assumptions'!$C$6)</f>
        <v>410831.62432640488</v>
      </c>
      <c r="K369" s="113">
        <f>Table4[[#This Row],[system_cost_npr_per_kwp]]*(1/'Calculations &amp; Assumptions'!$C$6)</f>
        <v>2998.7709804847073</v>
      </c>
      <c r="L369" s="23">
        <f>IF(Table4[[#This Row],[total_cost_inr]]&gt;0, Table4[[#This Row],[total_cost_inr]]*'Calculations &amp; Assumptions'!$C$7,IF(Table4[[#This Row],[total_cost_eur]]&gt;0,Table4[[#This Row],[total_cost_eur]]*'Calculations &amp; Assumptions'!$C$5,0))</f>
        <v>53367028</v>
      </c>
      <c r="M369" s="77">
        <f>IF(H369="smartmeter_1ph",Table4[[#This Row],[total_cost_npr]],Table4[[#This Row],[total_cost_npr]]/Table4[[#This Row],[pv_kWp]])</f>
        <v>389540.35036496352</v>
      </c>
      <c r="N369" s="1"/>
      <c r="O369" s="90">
        <f>Table4[[#This Row],[total_cost_inr]]/Table4[[#This Row],[pv_kWp]]</f>
        <v>0</v>
      </c>
      <c r="P369" s="1">
        <v>410515.6</v>
      </c>
      <c r="Q369" s="3">
        <f>Table4[[#This Row],[total_cost_eur]]/Table4[[#This Row],[pv_kWp]]</f>
        <v>2996.4642335766421</v>
      </c>
      <c r="R369" s="1"/>
      <c r="S369" s="1"/>
      <c r="T369" s="1">
        <v>137</v>
      </c>
      <c r="U369" s="1"/>
      <c r="V369" s="1"/>
      <c r="W369" s="1"/>
      <c r="X369" s="1"/>
      <c r="Y369" s="1"/>
      <c r="Z369" s="1"/>
      <c r="AA369" s="1"/>
      <c r="AB369" s="1"/>
      <c r="AC369" s="1"/>
      <c r="AD369" s="1">
        <v>81</v>
      </c>
      <c r="AE369" s="1"/>
      <c r="AF369" s="1"/>
      <c r="AG369" s="1"/>
      <c r="AH369" s="6"/>
      <c r="AI369" s="1"/>
      <c r="AJ369" s="1"/>
      <c r="AK369" s="1"/>
      <c r="AL369" s="1"/>
      <c r="AM369" s="1"/>
      <c r="AN369" s="1"/>
      <c r="AO369" s="1"/>
      <c r="AP369" s="1"/>
      <c r="AQ369" s="1"/>
      <c r="AR369" s="1"/>
      <c r="AS369" s="1" t="s">
        <v>479</v>
      </c>
      <c r="AT369" s="1" t="s">
        <v>484</v>
      </c>
      <c r="AU369" s="1">
        <v>0.5</v>
      </c>
      <c r="AV369" s="1">
        <v>876</v>
      </c>
      <c r="AW369" s="1">
        <v>180000</v>
      </c>
      <c r="AX369" s="1">
        <v>61320</v>
      </c>
      <c r="AY369" s="1">
        <v>198195.6</v>
      </c>
      <c r="AZ369" s="1">
        <v>0.67</v>
      </c>
      <c r="BA369" s="1">
        <v>10</v>
      </c>
      <c r="BB369" s="1">
        <v>331000</v>
      </c>
      <c r="BC369" s="1">
        <v>410515.6</v>
      </c>
      <c r="BD369" s="1">
        <v>34117</v>
      </c>
      <c r="BE369" s="1">
        <v>137</v>
      </c>
      <c r="BF369" s="1">
        <v>81</v>
      </c>
      <c r="BG369" s="1">
        <v>0.22</v>
      </c>
      <c r="BH369" s="1" t="s">
        <v>481</v>
      </c>
      <c r="BI369" s="1"/>
      <c r="BJ369" s="1">
        <v>19819.560000000001</v>
      </c>
      <c r="BK369" s="1"/>
    </row>
    <row r="370" spans="1:63" ht="30" thickBot="1" x14ac:dyDescent="0.25">
      <c r="A370" s="3">
        <v>370</v>
      </c>
      <c r="B370" s="3" t="s">
        <v>477</v>
      </c>
      <c r="C370" s="3" t="s">
        <v>543</v>
      </c>
      <c r="D370" s="1" t="s">
        <v>478</v>
      </c>
      <c r="E370" s="1"/>
      <c r="F370" s="1"/>
      <c r="G370" s="1" t="s">
        <v>102</v>
      </c>
      <c r="H370" s="1" t="s">
        <v>114</v>
      </c>
      <c r="I370" s="1"/>
      <c r="J370" s="113">
        <f>Table4[[#This Row],[total_cost_npr]]*(1/'Calculations &amp; Assumptions'!$C$6)</f>
        <v>445858.56812933023</v>
      </c>
      <c r="K370" s="113">
        <f>Table4[[#This Row],[system_cost_npr_per_kwp]]*(1/'Calculations &amp; Assumptions'!$C$6)</f>
        <v>2638.2163794634926</v>
      </c>
      <c r="L370" s="23">
        <f>IF(Table4[[#This Row],[total_cost_inr]]&gt;0, Table4[[#This Row],[total_cost_inr]]*'Calculations &amp; Assumptions'!$C$7,IF(Table4[[#This Row],[total_cost_eur]]&gt;0,Table4[[#This Row],[total_cost_eur]]*'Calculations &amp; Assumptions'!$C$5,0))</f>
        <v>57917028</v>
      </c>
      <c r="M370" s="77">
        <f>IF(H370="smartmeter_1ph",Table4[[#This Row],[total_cost_npr]],Table4[[#This Row],[total_cost_npr]]/Table4[[#This Row],[pv_kWp]])</f>
        <v>342704.30769230769</v>
      </c>
      <c r="N370" s="1"/>
      <c r="O370" s="90">
        <f>Table4[[#This Row],[total_cost_inr]]/Table4[[#This Row],[pv_kWp]]</f>
        <v>0</v>
      </c>
      <c r="P370" s="1">
        <v>445515.6</v>
      </c>
      <c r="Q370" s="3">
        <f>Table4[[#This Row],[total_cost_eur]]/Table4[[#This Row],[pv_kWp]]</f>
        <v>2636.1869822485205</v>
      </c>
      <c r="R370" s="1"/>
      <c r="S370" s="1"/>
      <c r="T370" s="1">
        <v>169</v>
      </c>
      <c r="U370" s="1"/>
      <c r="V370" s="1"/>
      <c r="W370" s="1"/>
      <c r="X370" s="1"/>
      <c r="Y370" s="1"/>
      <c r="Z370" s="1"/>
      <c r="AA370" s="1"/>
      <c r="AB370" s="1"/>
      <c r="AC370" s="1"/>
      <c r="AD370" s="1">
        <v>129</v>
      </c>
      <c r="AE370" s="1"/>
      <c r="AF370" s="1"/>
      <c r="AG370" s="1"/>
      <c r="AH370" s="6"/>
      <c r="AI370" s="1"/>
      <c r="AJ370" s="1"/>
      <c r="AK370" s="1"/>
      <c r="AL370" s="1"/>
      <c r="AM370" s="1"/>
      <c r="AN370" s="1"/>
      <c r="AO370" s="1"/>
      <c r="AP370" s="1"/>
      <c r="AQ370" s="1"/>
      <c r="AR370" s="1"/>
      <c r="AS370" s="1" t="s">
        <v>479</v>
      </c>
      <c r="AT370" s="1" t="s">
        <v>484</v>
      </c>
      <c r="AU370" s="1">
        <v>0.55000000000000004</v>
      </c>
      <c r="AV370" s="1">
        <v>876</v>
      </c>
      <c r="AW370" s="1">
        <v>180000</v>
      </c>
      <c r="AX370" s="1">
        <v>61320</v>
      </c>
      <c r="AY370" s="1">
        <v>198195.6</v>
      </c>
      <c r="AZ370" s="1">
        <v>0.67</v>
      </c>
      <c r="BA370" s="1">
        <v>10</v>
      </c>
      <c r="BB370" s="1">
        <v>366000</v>
      </c>
      <c r="BC370" s="1">
        <v>445515.6</v>
      </c>
      <c r="BD370" s="1">
        <v>29390</v>
      </c>
      <c r="BE370" s="1">
        <v>169</v>
      </c>
      <c r="BF370" s="1">
        <v>129</v>
      </c>
      <c r="BG370" s="1">
        <v>0.22</v>
      </c>
      <c r="BH370" s="1" t="s">
        <v>481</v>
      </c>
      <c r="BI370" s="1"/>
      <c r="BJ370" s="1">
        <v>19819.560000000001</v>
      </c>
      <c r="BK370" s="1"/>
    </row>
    <row r="371" spans="1:63" ht="30" thickBot="1" x14ac:dyDescent="0.25">
      <c r="A371" s="3">
        <v>371</v>
      </c>
      <c r="B371" s="3" t="s">
        <v>477</v>
      </c>
      <c r="C371" s="3" t="s">
        <v>543</v>
      </c>
      <c r="D371" s="1" t="s">
        <v>478</v>
      </c>
      <c r="E371" s="1"/>
      <c r="F371" s="1"/>
      <c r="G371" s="1" t="s">
        <v>102</v>
      </c>
      <c r="H371" s="1" t="s">
        <v>114</v>
      </c>
      <c r="I371" s="1"/>
      <c r="J371" s="113">
        <f>Table4[[#This Row],[total_cost_npr]]*(1/'Calculations &amp; Assumptions'!$C$6)</f>
        <v>466874.73441108543</v>
      </c>
      <c r="K371" s="113">
        <f>Table4[[#This Row],[system_cost_npr_per_kwp]]*(1/'Calculations &amp; Assumptions'!$C$6)</f>
        <v>2593.7485245060302</v>
      </c>
      <c r="L371" s="23">
        <f>IF(Table4[[#This Row],[total_cost_inr]]&gt;0, Table4[[#This Row],[total_cost_inr]]*'Calculations &amp; Assumptions'!$C$7,IF(Table4[[#This Row],[total_cost_eur]]&gt;0,Table4[[#This Row],[total_cost_eur]]*'Calculations &amp; Assumptions'!$C$5,0))</f>
        <v>60647028</v>
      </c>
      <c r="M371" s="77">
        <f>IF(H371="smartmeter_1ph",Table4[[#This Row],[total_cost_npr]],Table4[[#This Row],[total_cost_npr]]/Table4[[#This Row],[pv_kWp]])</f>
        <v>336927.93333333335</v>
      </c>
      <c r="N371" s="1"/>
      <c r="O371" s="90">
        <f>Table4[[#This Row],[total_cost_inr]]/Table4[[#This Row],[pv_kWp]]</f>
        <v>0</v>
      </c>
      <c r="P371" s="1">
        <v>466515.6</v>
      </c>
      <c r="Q371" s="3">
        <f>Table4[[#This Row],[total_cost_eur]]/Table4[[#This Row],[pv_kWp]]</f>
        <v>2591.7533333333331</v>
      </c>
      <c r="R371" s="1"/>
      <c r="S371" s="1"/>
      <c r="T371" s="1">
        <v>180</v>
      </c>
      <c r="U371" s="1"/>
      <c r="V371" s="1"/>
      <c r="W371" s="1"/>
      <c r="X371" s="1"/>
      <c r="Y371" s="1"/>
      <c r="Z371" s="1"/>
      <c r="AA371" s="1"/>
      <c r="AB371" s="1"/>
      <c r="AC371" s="1"/>
      <c r="AD371" s="1">
        <v>174</v>
      </c>
      <c r="AE371" s="1"/>
      <c r="AF371" s="1"/>
      <c r="AG371" s="1"/>
      <c r="AH371" s="6"/>
      <c r="AI371" s="1"/>
      <c r="AJ371" s="1"/>
      <c r="AK371" s="1"/>
      <c r="AL371" s="1"/>
      <c r="AM371" s="1"/>
      <c r="AN371" s="1"/>
      <c r="AO371" s="1"/>
      <c r="AP371" s="1"/>
      <c r="AQ371" s="1"/>
      <c r="AR371" s="1"/>
      <c r="AS371" s="1" t="s">
        <v>479</v>
      </c>
      <c r="AT371" s="1" t="s">
        <v>484</v>
      </c>
      <c r="AU371" s="1">
        <v>0.6</v>
      </c>
      <c r="AV371" s="1">
        <v>876</v>
      </c>
      <c r="AW371" s="1">
        <v>180000</v>
      </c>
      <c r="AX371" s="1">
        <v>61320</v>
      </c>
      <c r="AY371" s="1">
        <v>198195.6</v>
      </c>
      <c r="AZ371" s="1">
        <v>0.67</v>
      </c>
      <c r="BA371" s="1">
        <v>10</v>
      </c>
      <c r="BB371" s="1">
        <v>387000</v>
      </c>
      <c r="BC371" s="1">
        <v>466515.6</v>
      </c>
      <c r="BD371" s="1">
        <v>26263</v>
      </c>
      <c r="BE371" s="1">
        <v>180</v>
      </c>
      <c r="BF371" s="1">
        <v>174</v>
      </c>
      <c r="BG371" s="1">
        <v>0.22</v>
      </c>
      <c r="BH371" s="1" t="s">
        <v>481</v>
      </c>
      <c r="BI371" s="1"/>
      <c r="BJ371" s="1">
        <v>19819.560000000001</v>
      </c>
      <c r="BK371" s="1"/>
    </row>
    <row r="372" spans="1:63" ht="30" thickBot="1" x14ac:dyDescent="0.25">
      <c r="A372" s="3">
        <v>372</v>
      </c>
      <c r="B372" s="3" t="s">
        <v>477</v>
      </c>
      <c r="C372" s="3" t="s">
        <v>543</v>
      </c>
      <c r="D372" s="1" t="s">
        <v>478</v>
      </c>
      <c r="E372" s="1"/>
      <c r="F372" s="1"/>
      <c r="G372" s="1" t="s">
        <v>102</v>
      </c>
      <c r="H372" s="1" t="s">
        <v>114</v>
      </c>
      <c r="I372" s="1"/>
      <c r="J372" s="113">
        <f>Table4[[#This Row],[total_cost_npr]]*(1/'Calculations &amp; Assumptions'!$C$6)</f>
        <v>489892.44033872202</v>
      </c>
      <c r="K372" s="113">
        <f>Table4[[#This Row],[system_cost_npr_per_kwp]]*(1/'Calculations &amp; Assumptions'!$C$6)</f>
        <v>2474.2042441349599</v>
      </c>
      <c r="L372" s="23">
        <f>IF(Table4[[#This Row],[total_cost_inr]]&gt;0, Table4[[#This Row],[total_cost_inr]]*'Calculations &amp; Assumptions'!$C$7,IF(Table4[[#This Row],[total_cost_eur]]&gt;0,Table4[[#This Row],[total_cost_eur]]*'Calculations &amp; Assumptions'!$C$5,0))</f>
        <v>63637028</v>
      </c>
      <c r="M372" s="77">
        <f>IF(H372="smartmeter_1ph",Table4[[#This Row],[total_cost_npr]],Table4[[#This Row],[total_cost_npr]]/Table4[[#This Row],[pv_kWp]])</f>
        <v>321399.13131313131</v>
      </c>
      <c r="N372" s="1"/>
      <c r="O372" s="90">
        <f>Table4[[#This Row],[total_cost_inr]]/Table4[[#This Row],[pv_kWp]]</f>
        <v>0</v>
      </c>
      <c r="P372" s="1">
        <v>489515.6</v>
      </c>
      <c r="Q372" s="3">
        <f>Table4[[#This Row],[total_cost_eur]]/Table4[[#This Row],[pv_kWp]]</f>
        <v>2472.30101010101</v>
      </c>
      <c r="R372" s="1"/>
      <c r="S372" s="1"/>
      <c r="T372" s="1">
        <v>198</v>
      </c>
      <c r="U372" s="1"/>
      <c r="V372" s="1"/>
      <c r="W372" s="1"/>
      <c r="X372" s="1"/>
      <c r="Y372" s="1"/>
      <c r="Z372" s="1"/>
      <c r="AA372" s="1"/>
      <c r="AB372" s="1"/>
      <c r="AC372" s="1"/>
      <c r="AD372" s="1">
        <v>217</v>
      </c>
      <c r="AE372" s="1"/>
      <c r="AF372" s="1"/>
      <c r="AG372" s="1"/>
      <c r="AH372" s="6"/>
      <c r="AI372" s="1"/>
      <c r="AJ372" s="1"/>
      <c r="AK372" s="1"/>
      <c r="AL372" s="1"/>
      <c r="AM372" s="1"/>
      <c r="AN372" s="1"/>
      <c r="AO372" s="1"/>
      <c r="AP372" s="1"/>
      <c r="AQ372" s="1"/>
      <c r="AR372" s="1"/>
      <c r="AS372" s="1" t="s">
        <v>479</v>
      </c>
      <c r="AT372" s="1" t="s">
        <v>484</v>
      </c>
      <c r="AU372" s="1">
        <v>0.65</v>
      </c>
      <c r="AV372" s="1">
        <v>876</v>
      </c>
      <c r="AW372" s="1">
        <v>180000</v>
      </c>
      <c r="AX372" s="1">
        <v>61320</v>
      </c>
      <c r="AY372" s="1">
        <v>198195.6</v>
      </c>
      <c r="AZ372" s="1">
        <v>0.67</v>
      </c>
      <c r="BA372" s="1">
        <v>10</v>
      </c>
      <c r="BB372" s="1">
        <v>410000</v>
      </c>
      <c r="BC372" s="1">
        <v>489515.6</v>
      </c>
      <c r="BD372" s="1">
        <v>23087</v>
      </c>
      <c r="BE372" s="1">
        <v>198</v>
      </c>
      <c r="BF372" s="1">
        <v>217</v>
      </c>
      <c r="BG372" s="1">
        <v>0.22</v>
      </c>
      <c r="BH372" s="1" t="s">
        <v>481</v>
      </c>
      <c r="BI372" s="1"/>
      <c r="BJ372" s="1">
        <v>19819.560000000001</v>
      </c>
      <c r="BK372" s="1"/>
    </row>
    <row r="373" spans="1:63" ht="30" thickBot="1" x14ac:dyDescent="0.25">
      <c r="A373" s="3">
        <v>373</v>
      </c>
      <c r="B373" s="3" t="s">
        <v>477</v>
      </c>
      <c r="C373" s="3" t="s">
        <v>543</v>
      </c>
      <c r="D373" s="1" t="s">
        <v>478</v>
      </c>
      <c r="E373" s="1"/>
      <c r="F373" s="1"/>
      <c r="G373" s="1" t="s">
        <v>102</v>
      </c>
      <c r="H373" s="1" t="s">
        <v>114</v>
      </c>
      <c r="I373" s="1"/>
      <c r="J373" s="113">
        <f>Table4[[#This Row],[total_cost_npr]]*(1/'Calculations &amp; Assumptions'!$C$6)</f>
        <v>513910.91608929943</v>
      </c>
      <c r="K373" s="113">
        <f>Table4[[#This Row],[system_cost_npr_per_kwp]]*(1/'Calculations &amp; Assumptions'!$C$6)</f>
        <v>2435.5967587170589</v>
      </c>
      <c r="L373" s="23">
        <f>IF(Table4[[#This Row],[total_cost_inr]]&gt;0, Table4[[#This Row],[total_cost_inr]]*'Calculations &amp; Assumptions'!$C$7,IF(Table4[[#This Row],[total_cost_eur]]&gt;0,Table4[[#This Row],[total_cost_eur]]*'Calculations &amp; Assumptions'!$C$5,0))</f>
        <v>66757028</v>
      </c>
      <c r="M373" s="77">
        <f>IF(H373="smartmeter_1ph",Table4[[#This Row],[total_cost_npr]],Table4[[#This Row],[total_cost_npr]]/Table4[[#This Row],[pv_kWp]])</f>
        <v>316384.01895734598</v>
      </c>
      <c r="N373" s="1"/>
      <c r="O373" s="90">
        <f>Table4[[#This Row],[total_cost_inr]]/Table4[[#This Row],[pv_kWp]]</f>
        <v>0</v>
      </c>
      <c r="P373" s="1">
        <v>513515.6</v>
      </c>
      <c r="Q373" s="3">
        <f>Table4[[#This Row],[total_cost_eur]]/Table4[[#This Row],[pv_kWp]]</f>
        <v>2433.7232227488153</v>
      </c>
      <c r="R373" s="1"/>
      <c r="S373" s="1"/>
      <c r="T373" s="1">
        <v>211</v>
      </c>
      <c r="U373" s="1"/>
      <c r="V373" s="1"/>
      <c r="W373" s="1"/>
      <c r="X373" s="1"/>
      <c r="Y373" s="1"/>
      <c r="Z373" s="1"/>
      <c r="AA373" s="1"/>
      <c r="AB373" s="1"/>
      <c r="AC373" s="1"/>
      <c r="AD373" s="1">
        <v>268</v>
      </c>
      <c r="AE373" s="1"/>
      <c r="AF373" s="1"/>
      <c r="AG373" s="1"/>
      <c r="AH373" s="6"/>
      <c r="AI373" s="1"/>
      <c r="AJ373" s="1"/>
      <c r="AK373" s="1"/>
      <c r="AL373" s="1"/>
      <c r="AM373" s="1"/>
      <c r="AN373" s="1"/>
      <c r="AO373" s="1"/>
      <c r="AP373" s="1"/>
      <c r="AQ373" s="1"/>
      <c r="AR373" s="1"/>
      <c r="AS373" s="1" t="s">
        <v>479</v>
      </c>
      <c r="AT373" s="1" t="s">
        <v>484</v>
      </c>
      <c r="AU373" s="1">
        <v>0.7</v>
      </c>
      <c r="AV373" s="1">
        <v>876</v>
      </c>
      <c r="AW373" s="1">
        <v>180000</v>
      </c>
      <c r="AX373" s="1">
        <v>61320</v>
      </c>
      <c r="AY373" s="1">
        <v>198195.6</v>
      </c>
      <c r="AZ373" s="1">
        <v>0.67</v>
      </c>
      <c r="BA373" s="1">
        <v>10</v>
      </c>
      <c r="BB373" s="1">
        <v>434000</v>
      </c>
      <c r="BC373" s="1">
        <v>513515.6</v>
      </c>
      <c r="BD373" s="1">
        <v>19829</v>
      </c>
      <c r="BE373" s="1">
        <v>211</v>
      </c>
      <c r="BF373" s="1">
        <v>268</v>
      </c>
      <c r="BG373" s="1">
        <v>0.22</v>
      </c>
      <c r="BH373" s="1" t="s">
        <v>481</v>
      </c>
      <c r="BI373" s="1"/>
      <c r="BJ373" s="1">
        <v>19819.560000000001</v>
      </c>
      <c r="BK373" s="1"/>
    </row>
    <row r="374" spans="1:63" ht="30" thickBot="1" x14ac:dyDescent="0.25">
      <c r="A374" s="3">
        <v>374</v>
      </c>
      <c r="B374" s="3" t="s">
        <v>477</v>
      </c>
      <c r="C374" s="3" t="s">
        <v>543</v>
      </c>
      <c r="D374" s="1" t="s">
        <v>478</v>
      </c>
      <c r="E374" s="1"/>
      <c r="F374" s="1"/>
      <c r="G374" s="1" t="s">
        <v>102</v>
      </c>
      <c r="H374" s="1" t="s">
        <v>114</v>
      </c>
      <c r="I374" s="1"/>
      <c r="J374" s="113">
        <f>Table4[[#This Row],[total_cost_npr]]*(1/'Calculations &amp; Assumptions'!$C$6)</f>
        <v>540931.70130869898</v>
      </c>
      <c r="K374" s="113">
        <f>Table4[[#This Row],[system_cost_npr_per_kwp]]*(1/'Calculations &amp; Assumptions'!$C$6)</f>
        <v>2447.654757052936</v>
      </c>
      <c r="L374" s="23">
        <f>IF(Table4[[#This Row],[total_cost_inr]]&gt;0, Table4[[#This Row],[total_cost_inr]]*'Calculations &amp; Assumptions'!$C$7,IF(Table4[[#This Row],[total_cost_eur]]&gt;0,Table4[[#This Row],[total_cost_eur]]*'Calculations &amp; Assumptions'!$C$5,0))</f>
        <v>70267028</v>
      </c>
      <c r="M374" s="77">
        <f>IF(H374="smartmeter_1ph",Table4[[#This Row],[total_cost_npr]],Table4[[#This Row],[total_cost_npr]]/Table4[[#This Row],[pv_kWp]])</f>
        <v>317950.35294117645</v>
      </c>
      <c r="N374" s="1"/>
      <c r="O374" s="90">
        <f>Table4[[#This Row],[total_cost_inr]]/Table4[[#This Row],[pv_kWp]]</f>
        <v>0</v>
      </c>
      <c r="P374" s="1">
        <v>540515.6</v>
      </c>
      <c r="Q374" s="3">
        <f>Table4[[#This Row],[total_cost_eur]]/Table4[[#This Row],[pv_kWp]]</f>
        <v>2445.7719457013573</v>
      </c>
      <c r="R374" s="1"/>
      <c r="S374" s="1"/>
      <c r="T374" s="1">
        <v>221</v>
      </c>
      <c r="U374" s="1"/>
      <c r="V374" s="1"/>
      <c r="W374" s="1"/>
      <c r="X374" s="1"/>
      <c r="Y374" s="1"/>
      <c r="Z374" s="1"/>
      <c r="AA374" s="1"/>
      <c r="AB374" s="1"/>
      <c r="AC374" s="1"/>
      <c r="AD374" s="1">
        <v>308</v>
      </c>
      <c r="AE374" s="1"/>
      <c r="AF374" s="1"/>
      <c r="AG374" s="1"/>
      <c r="AH374" s="6"/>
      <c r="AI374" s="1"/>
      <c r="AJ374" s="1"/>
      <c r="AK374" s="1"/>
      <c r="AL374" s="1"/>
      <c r="AM374" s="1"/>
      <c r="AN374" s="1"/>
      <c r="AO374" s="1"/>
      <c r="AP374" s="1"/>
      <c r="AQ374" s="1"/>
      <c r="AR374" s="1"/>
      <c r="AS374" s="1" t="s">
        <v>479</v>
      </c>
      <c r="AT374" s="1" t="s">
        <v>484</v>
      </c>
      <c r="AU374" s="1">
        <v>0.75</v>
      </c>
      <c r="AV374" s="1">
        <v>876</v>
      </c>
      <c r="AW374" s="1">
        <v>180000</v>
      </c>
      <c r="AX374" s="1">
        <v>61320</v>
      </c>
      <c r="AY374" s="1">
        <v>198195.6</v>
      </c>
      <c r="AZ374" s="1">
        <v>0.67</v>
      </c>
      <c r="BA374" s="1">
        <v>10</v>
      </c>
      <c r="BB374" s="1">
        <v>461000</v>
      </c>
      <c r="BC374" s="1">
        <v>540515.6</v>
      </c>
      <c r="BD374" s="1">
        <v>16624</v>
      </c>
      <c r="BE374" s="1">
        <v>221</v>
      </c>
      <c r="BF374" s="1">
        <v>308</v>
      </c>
      <c r="BG374" s="1">
        <v>0.22</v>
      </c>
      <c r="BH374" s="1" t="s">
        <v>481</v>
      </c>
      <c r="BI374" s="1"/>
      <c r="BJ374" s="1">
        <v>19819.560000000001</v>
      </c>
      <c r="BK374" s="1"/>
    </row>
    <row r="375" spans="1:63" ht="30" thickBot="1" x14ac:dyDescent="0.25">
      <c r="A375" s="3">
        <v>375</v>
      </c>
      <c r="B375" s="3" t="s">
        <v>477</v>
      </c>
      <c r="C375" s="3" t="s">
        <v>543</v>
      </c>
      <c r="D375" s="1" t="s">
        <v>478</v>
      </c>
      <c r="E375" s="1"/>
      <c r="F375" s="1"/>
      <c r="G375" s="1" t="s">
        <v>102</v>
      </c>
      <c r="H375" s="1" t="s">
        <v>114</v>
      </c>
      <c r="I375" s="1"/>
      <c r="J375" s="113">
        <f>Table4[[#This Row],[total_cost_npr]]*(1/'Calculations &amp; Assumptions'!$C$6)</f>
        <v>565950.94688221707</v>
      </c>
      <c r="K375" s="113">
        <f>Table4[[#This Row],[system_cost_npr_per_kwp]]*(1/'Calculations &amp; Assumptions'!$C$6)</f>
        <v>2348.3441779345108</v>
      </c>
      <c r="L375" s="23">
        <f>IF(Table4[[#This Row],[total_cost_inr]]&gt;0, Table4[[#This Row],[total_cost_inr]]*'Calculations &amp; Assumptions'!$C$7,IF(Table4[[#This Row],[total_cost_eur]]&gt;0,Table4[[#This Row],[total_cost_eur]]*'Calculations &amp; Assumptions'!$C$5,0))</f>
        <v>73517028</v>
      </c>
      <c r="M375" s="77">
        <f>IF(H375="smartmeter_1ph",Table4[[#This Row],[total_cost_npr]],Table4[[#This Row],[total_cost_npr]]/Table4[[#This Row],[pv_kWp]])</f>
        <v>305049.90871369297</v>
      </c>
      <c r="N375" s="1"/>
      <c r="O375" s="90">
        <f>Table4[[#This Row],[total_cost_inr]]/Table4[[#This Row],[pv_kWp]]</f>
        <v>0</v>
      </c>
      <c r="P375" s="1">
        <v>565515.6</v>
      </c>
      <c r="Q375" s="3">
        <f>Table4[[#This Row],[total_cost_eur]]/Table4[[#This Row],[pv_kWp]]</f>
        <v>2346.5377593360995</v>
      </c>
      <c r="R375" s="1"/>
      <c r="S375" s="1"/>
      <c r="T375" s="1">
        <v>241</v>
      </c>
      <c r="U375" s="1"/>
      <c r="V375" s="1"/>
      <c r="W375" s="1"/>
      <c r="X375" s="1"/>
      <c r="Y375" s="1"/>
      <c r="Z375" s="1"/>
      <c r="AA375" s="1"/>
      <c r="AB375" s="1"/>
      <c r="AC375" s="1"/>
      <c r="AD375" s="1">
        <v>352</v>
      </c>
      <c r="AE375" s="1"/>
      <c r="AF375" s="1"/>
      <c r="AG375" s="1"/>
      <c r="AH375" s="6"/>
      <c r="AI375" s="1"/>
      <c r="AJ375" s="1"/>
      <c r="AK375" s="1"/>
      <c r="AL375" s="1"/>
      <c r="AM375" s="1"/>
      <c r="AN375" s="1"/>
      <c r="AO375" s="1"/>
      <c r="AP375" s="1"/>
      <c r="AQ375" s="1"/>
      <c r="AR375" s="1"/>
      <c r="AS375" s="1" t="s">
        <v>479</v>
      </c>
      <c r="AT375" s="1" t="s">
        <v>484</v>
      </c>
      <c r="AU375" s="1">
        <v>0.8</v>
      </c>
      <c r="AV375" s="1">
        <v>876</v>
      </c>
      <c r="AW375" s="1">
        <v>180000</v>
      </c>
      <c r="AX375" s="1">
        <v>61320</v>
      </c>
      <c r="AY375" s="1">
        <v>198195.6</v>
      </c>
      <c r="AZ375" s="1">
        <v>0.67</v>
      </c>
      <c r="BA375" s="1">
        <v>10</v>
      </c>
      <c r="BB375" s="1">
        <v>486000</v>
      </c>
      <c r="BC375" s="1">
        <v>565515.6</v>
      </c>
      <c r="BD375" s="1">
        <v>13282</v>
      </c>
      <c r="BE375" s="1">
        <v>241</v>
      </c>
      <c r="BF375" s="1">
        <v>352</v>
      </c>
      <c r="BG375" s="1">
        <v>0.22</v>
      </c>
      <c r="BH375" s="1" t="s">
        <v>481</v>
      </c>
      <c r="BI375" s="1"/>
      <c r="BJ375" s="1">
        <v>19819.560000000001</v>
      </c>
      <c r="BK375" s="1"/>
    </row>
    <row r="376" spans="1:63" ht="30" thickBot="1" x14ac:dyDescent="0.25">
      <c r="A376" s="3">
        <v>376</v>
      </c>
      <c r="B376" s="3" t="s">
        <v>477</v>
      </c>
      <c r="C376" s="3" t="s">
        <v>543</v>
      </c>
      <c r="D376" s="1" t="s">
        <v>478</v>
      </c>
      <c r="E376" s="1"/>
      <c r="F376" s="1"/>
      <c r="G376" s="1" t="s">
        <v>102</v>
      </c>
      <c r="H376" s="1" t="s">
        <v>114</v>
      </c>
      <c r="I376" s="1"/>
      <c r="J376" s="113">
        <f>Table4[[#This Row],[total_cost_npr]]*(1/'Calculations &amp; Assumptions'!$C$6)</f>
        <v>591970.96227867587</v>
      </c>
      <c r="K376" s="113">
        <f>Table4[[#This Row],[system_cost_npr_per_kwp]]*(1/'Calculations &amp; Assumptions'!$C$6)</f>
        <v>2259.4311537354042</v>
      </c>
      <c r="L376" s="23">
        <f>IF(Table4[[#This Row],[total_cost_inr]]&gt;0, Table4[[#This Row],[total_cost_inr]]*'Calculations &amp; Assumptions'!$C$7,IF(Table4[[#This Row],[total_cost_eur]]&gt;0,Table4[[#This Row],[total_cost_eur]]*'Calculations &amp; Assumptions'!$C$5,0))</f>
        <v>76897028</v>
      </c>
      <c r="M376" s="77">
        <f>IF(H376="smartmeter_1ph",Table4[[#This Row],[total_cost_npr]],Table4[[#This Row],[total_cost_npr]]/Table4[[#This Row],[pv_kWp]])</f>
        <v>293500.10687022901</v>
      </c>
      <c r="N376" s="1"/>
      <c r="O376" s="90">
        <f>Table4[[#This Row],[total_cost_inr]]/Table4[[#This Row],[pv_kWp]]</f>
        <v>0</v>
      </c>
      <c r="P376" s="1">
        <v>591515.6</v>
      </c>
      <c r="Q376" s="3">
        <f>Table4[[#This Row],[total_cost_eur]]/Table4[[#This Row],[pv_kWp]]</f>
        <v>2257.6931297709921</v>
      </c>
      <c r="R376" s="1"/>
      <c r="S376" s="1"/>
      <c r="T376" s="1">
        <v>262</v>
      </c>
      <c r="U376" s="1"/>
      <c r="V376" s="1"/>
      <c r="W376" s="1"/>
      <c r="X376" s="1"/>
      <c r="Y376" s="1"/>
      <c r="Z376" s="1"/>
      <c r="AA376" s="1"/>
      <c r="AB376" s="1"/>
      <c r="AC376" s="1"/>
      <c r="AD376" s="1">
        <v>399</v>
      </c>
      <c r="AE376" s="1"/>
      <c r="AF376" s="1"/>
      <c r="AG376" s="1"/>
      <c r="AH376" s="6"/>
      <c r="AI376" s="1"/>
      <c r="AJ376" s="1"/>
      <c r="AK376" s="1"/>
      <c r="AL376" s="1"/>
      <c r="AM376" s="1"/>
      <c r="AN376" s="1"/>
      <c r="AO376" s="1"/>
      <c r="AP376" s="1"/>
      <c r="AQ376" s="1"/>
      <c r="AR376" s="1"/>
      <c r="AS376" s="1" t="s">
        <v>479</v>
      </c>
      <c r="AT376" s="1" t="s">
        <v>484</v>
      </c>
      <c r="AU376" s="1">
        <v>0.85</v>
      </c>
      <c r="AV376" s="1">
        <v>876</v>
      </c>
      <c r="AW376" s="1">
        <v>180000</v>
      </c>
      <c r="AX376" s="1">
        <v>61320</v>
      </c>
      <c r="AY376" s="1">
        <v>198195.6</v>
      </c>
      <c r="AZ376" s="1">
        <v>0.67</v>
      </c>
      <c r="BA376" s="1">
        <v>10</v>
      </c>
      <c r="BB376" s="1">
        <v>512000</v>
      </c>
      <c r="BC376" s="1">
        <v>591515.6</v>
      </c>
      <c r="BD376" s="1">
        <v>10011</v>
      </c>
      <c r="BE376" s="1">
        <v>262</v>
      </c>
      <c r="BF376" s="1">
        <v>399</v>
      </c>
      <c r="BG376" s="1">
        <v>0.22</v>
      </c>
      <c r="BH376" s="1" t="s">
        <v>481</v>
      </c>
      <c r="BI376" s="1"/>
      <c r="BJ376" s="1">
        <v>19819.560000000001</v>
      </c>
      <c r="BK376" s="1"/>
    </row>
    <row r="377" spans="1:63" ht="30" thickBot="1" x14ac:dyDescent="0.25">
      <c r="A377" s="3">
        <v>377</v>
      </c>
      <c r="B377" s="3" t="s">
        <v>477</v>
      </c>
      <c r="C377" s="3" t="s">
        <v>543</v>
      </c>
      <c r="D377" s="1" t="s">
        <v>478</v>
      </c>
      <c r="E377" s="1"/>
      <c r="F377" s="1"/>
      <c r="G377" s="1" t="s">
        <v>102</v>
      </c>
      <c r="H377" s="1" t="s">
        <v>114</v>
      </c>
      <c r="I377" s="1"/>
      <c r="J377" s="113">
        <f>Table4[[#This Row],[total_cost_npr]]*(1/'Calculations &amp; Assumptions'!$C$6)</f>
        <v>623995.59661277896</v>
      </c>
      <c r="K377" s="113">
        <f>Table4[[#This Row],[system_cost_npr_per_kwp]]*(1/'Calculations &amp; Assumptions'!$C$6)</f>
        <v>2100.9952747905018</v>
      </c>
      <c r="L377" s="23">
        <f>IF(Table4[[#This Row],[total_cost_inr]]&gt;0, Table4[[#This Row],[total_cost_inr]]*'Calculations &amp; Assumptions'!$C$7,IF(Table4[[#This Row],[total_cost_eur]]&gt;0,Table4[[#This Row],[total_cost_eur]]*'Calculations &amp; Assumptions'!$C$5,0))</f>
        <v>81057028</v>
      </c>
      <c r="M377" s="77">
        <f>IF(H377="smartmeter_1ph",Table4[[#This Row],[total_cost_npr]],Table4[[#This Row],[total_cost_npr]]/Table4[[#This Row],[pv_kWp]])</f>
        <v>272919.2861952862</v>
      </c>
      <c r="N377" s="1"/>
      <c r="O377" s="90">
        <f>Table4[[#This Row],[total_cost_inr]]/Table4[[#This Row],[pv_kWp]]</f>
        <v>0</v>
      </c>
      <c r="P377" s="1">
        <v>623515.6</v>
      </c>
      <c r="Q377" s="3">
        <f>Table4[[#This Row],[total_cost_eur]]/Table4[[#This Row],[pv_kWp]]</f>
        <v>2099.3791245791244</v>
      </c>
      <c r="R377" s="1"/>
      <c r="S377" s="1"/>
      <c r="T377" s="1">
        <v>297</v>
      </c>
      <c r="U377" s="1"/>
      <c r="V377" s="1"/>
      <c r="W377" s="1"/>
      <c r="X377" s="1"/>
      <c r="Y377" s="1"/>
      <c r="Z377" s="1"/>
      <c r="AA377" s="1"/>
      <c r="AB377" s="1"/>
      <c r="AC377" s="1"/>
      <c r="AD377" s="1">
        <v>439</v>
      </c>
      <c r="AE377" s="1"/>
      <c r="AF377" s="1"/>
      <c r="AG377" s="1"/>
      <c r="AH377" s="6"/>
      <c r="AI377" s="1"/>
      <c r="AJ377" s="1"/>
      <c r="AK377" s="1"/>
      <c r="AL377" s="1"/>
      <c r="AM377" s="1"/>
      <c r="AN377" s="1"/>
      <c r="AO377" s="1"/>
      <c r="AP377" s="1"/>
      <c r="AQ377" s="1"/>
      <c r="AR377" s="1"/>
      <c r="AS377" s="1" t="s">
        <v>479</v>
      </c>
      <c r="AT377" s="1" t="s">
        <v>484</v>
      </c>
      <c r="AU377" s="1">
        <v>0.9</v>
      </c>
      <c r="AV377" s="1">
        <v>876</v>
      </c>
      <c r="AW377" s="1">
        <v>180000</v>
      </c>
      <c r="AX377" s="1">
        <v>61320</v>
      </c>
      <c r="AY377" s="1">
        <v>198195.6</v>
      </c>
      <c r="AZ377" s="1">
        <v>0.67</v>
      </c>
      <c r="BA377" s="1">
        <v>10</v>
      </c>
      <c r="BB377" s="1">
        <v>544000</v>
      </c>
      <c r="BC377" s="1">
        <v>623515.6</v>
      </c>
      <c r="BD377" s="1">
        <v>6718</v>
      </c>
      <c r="BE377" s="1">
        <v>297</v>
      </c>
      <c r="BF377" s="1">
        <v>439</v>
      </c>
      <c r="BG377" s="1">
        <v>0.22</v>
      </c>
      <c r="BH377" s="1" t="s">
        <v>481</v>
      </c>
      <c r="BI377" s="1"/>
      <c r="BJ377" s="1">
        <v>19819.560000000001</v>
      </c>
      <c r="BK377" s="1"/>
    </row>
    <row r="378" spans="1:63" ht="16" thickBot="1" x14ac:dyDescent="0.25">
      <c r="A378" s="3">
        <v>378</v>
      </c>
      <c r="B378" s="3" t="s">
        <v>477</v>
      </c>
      <c r="C378" s="3" t="s">
        <v>543</v>
      </c>
      <c r="D378" s="1" t="s">
        <v>478</v>
      </c>
      <c r="E378" s="1"/>
      <c r="F378" s="1"/>
      <c r="G378" s="1" t="s">
        <v>102</v>
      </c>
      <c r="H378" s="1" t="s">
        <v>114</v>
      </c>
      <c r="I378" s="1"/>
      <c r="J378" s="113">
        <f>Table4[[#This Row],[total_cost_npr]]*(1/'Calculations &amp; Assumptions'!$C$6)</f>
        <v>253543.23325635103</v>
      </c>
      <c r="K378" s="113">
        <f>Table4[[#This Row],[system_cost_npr_per_kwp]]*(1/'Calculations &amp; Assumptions'!$C$6)</f>
        <v>23049.384841486455</v>
      </c>
      <c r="L378" s="23">
        <f>IF(Table4[[#This Row],[total_cost_inr]]&gt;0, Table4[[#This Row],[total_cost_inr]]*'Calculations &amp; Assumptions'!$C$7,IF(Table4[[#This Row],[total_cost_eur]]&gt;0,Table4[[#This Row],[total_cost_eur]]*'Calculations &amp; Assumptions'!$C$5,0))</f>
        <v>32935266</v>
      </c>
      <c r="M378" s="77">
        <f>IF(H378="smartmeter_1ph",Table4[[#This Row],[total_cost_npr]],Table4[[#This Row],[total_cost_npr]]/Table4[[#This Row],[pv_kWp]])</f>
        <v>2994115.0909090908</v>
      </c>
      <c r="N378" s="1"/>
      <c r="O378" s="90">
        <f>Table4[[#This Row],[total_cost_inr]]/Table4[[#This Row],[pv_kWp]]</f>
        <v>0</v>
      </c>
      <c r="P378" s="1">
        <v>253348.2</v>
      </c>
      <c r="Q378" s="3">
        <f>Table4[[#This Row],[total_cost_eur]]/Table4[[#This Row],[pv_kWp]]</f>
        <v>23031.654545454545</v>
      </c>
      <c r="R378" s="1"/>
      <c r="S378" s="1"/>
      <c r="T378" s="1">
        <v>11</v>
      </c>
      <c r="U378" s="1"/>
      <c r="V378" s="1"/>
      <c r="W378" s="1"/>
      <c r="X378" s="1"/>
      <c r="Y378" s="1"/>
      <c r="Z378" s="1"/>
      <c r="AA378" s="1"/>
      <c r="AB378" s="1"/>
      <c r="AC378" s="1"/>
      <c r="AD378" s="1">
        <v>5</v>
      </c>
      <c r="AE378" s="1"/>
      <c r="AF378" s="1"/>
      <c r="AG378" s="1"/>
      <c r="AH378" s="6"/>
      <c r="AI378" s="1"/>
      <c r="AJ378" s="1"/>
      <c r="AK378" s="1"/>
      <c r="AL378" s="1"/>
      <c r="AM378" s="1"/>
      <c r="AN378" s="1"/>
      <c r="AO378" s="1"/>
      <c r="AP378" s="1"/>
      <c r="AQ378" s="1"/>
      <c r="AR378" s="1"/>
      <c r="AS378" s="1" t="s">
        <v>479</v>
      </c>
      <c r="AT378" s="1" t="s">
        <v>485</v>
      </c>
      <c r="AU378" s="1">
        <v>0.1</v>
      </c>
      <c r="AV378" s="1">
        <v>561</v>
      </c>
      <c r="AW378" s="1">
        <v>155000</v>
      </c>
      <c r="AX378" s="1">
        <v>39270</v>
      </c>
      <c r="AY378" s="1">
        <v>155078.20000000001</v>
      </c>
      <c r="AZ378" s="1">
        <v>0.34</v>
      </c>
      <c r="BA378" s="1">
        <v>14</v>
      </c>
      <c r="BB378" s="1">
        <v>214000</v>
      </c>
      <c r="BC378" s="1">
        <v>253348.2</v>
      </c>
      <c r="BD378" s="1">
        <v>40368</v>
      </c>
      <c r="BE378" s="1">
        <v>11</v>
      </c>
      <c r="BF378" s="1">
        <v>5</v>
      </c>
      <c r="BG378" s="1">
        <v>0.18</v>
      </c>
      <c r="BH378" s="1" t="s">
        <v>483</v>
      </c>
      <c r="BI378" s="1"/>
      <c r="BJ378" s="1">
        <v>11077.014285714287</v>
      </c>
      <c r="BK378" s="1"/>
    </row>
    <row r="379" spans="1:63" ht="16" thickBot="1" x14ac:dyDescent="0.25">
      <c r="A379" s="3">
        <v>379</v>
      </c>
      <c r="B379" s="3" t="s">
        <v>477</v>
      </c>
      <c r="C379" s="3" t="s">
        <v>543</v>
      </c>
      <c r="D379" s="1" t="s">
        <v>478</v>
      </c>
      <c r="E379" s="1"/>
      <c r="F379" s="1"/>
      <c r="G379" s="1" t="s">
        <v>102</v>
      </c>
      <c r="H379" s="1" t="s">
        <v>114</v>
      </c>
      <c r="I379" s="1"/>
      <c r="J379" s="113">
        <f>Table4[[#This Row],[total_cost_npr]]*(1/'Calculations &amp; Assumptions'!$C$6)</f>
        <v>255544.77290223245</v>
      </c>
      <c r="K379" s="113">
        <f>Table4[[#This Row],[system_cost_npr_per_kwp]]*(1/'Calculations &amp; Assumptions'!$C$6)</f>
        <v>15032.045464837205</v>
      </c>
      <c r="L379" s="23">
        <f>IF(Table4[[#This Row],[total_cost_inr]]&gt;0, Table4[[#This Row],[total_cost_inr]]*'Calculations &amp; Assumptions'!$C$7,IF(Table4[[#This Row],[total_cost_eur]]&gt;0,Table4[[#This Row],[total_cost_eur]]*'Calculations &amp; Assumptions'!$C$5,0))</f>
        <v>33195266</v>
      </c>
      <c r="M379" s="77">
        <f>IF(H379="smartmeter_1ph",Table4[[#This Row],[total_cost_npr]],Table4[[#This Row],[total_cost_npr]]/Table4[[#This Row],[pv_kWp]])</f>
        <v>1952662.705882353</v>
      </c>
      <c r="N379" s="1"/>
      <c r="O379" s="90">
        <f>Table4[[#This Row],[total_cost_inr]]/Table4[[#This Row],[pv_kWp]]</f>
        <v>0</v>
      </c>
      <c r="P379" s="1">
        <v>255348.2</v>
      </c>
      <c r="Q379" s="3">
        <f>Table4[[#This Row],[total_cost_eur]]/Table4[[#This Row],[pv_kWp]]</f>
        <v>15020.482352941177</v>
      </c>
      <c r="R379" s="1"/>
      <c r="S379" s="1"/>
      <c r="T379" s="1">
        <v>17</v>
      </c>
      <c r="U379" s="1"/>
      <c r="V379" s="1"/>
      <c r="W379" s="1"/>
      <c r="X379" s="1"/>
      <c r="Y379" s="1"/>
      <c r="Z379" s="1"/>
      <c r="AA379" s="1"/>
      <c r="AB379" s="1"/>
      <c r="AC379" s="1"/>
      <c r="AD379" s="1">
        <v>5</v>
      </c>
      <c r="AE379" s="1"/>
      <c r="AF379" s="1"/>
      <c r="AG379" s="1"/>
      <c r="AH379" s="6"/>
      <c r="AI379" s="1"/>
      <c r="AJ379" s="1"/>
      <c r="AK379" s="1"/>
      <c r="AL379" s="1"/>
      <c r="AM379" s="1"/>
      <c r="AN379" s="1"/>
      <c r="AO379" s="1"/>
      <c r="AP379" s="1"/>
      <c r="AQ379" s="1"/>
      <c r="AR379" s="1"/>
      <c r="AS379" s="1" t="s">
        <v>479</v>
      </c>
      <c r="AT379" s="1" t="s">
        <v>485</v>
      </c>
      <c r="AU379" s="1">
        <v>0.15</v>
      </c>
      <c r="AV379" s="1">
        <v>561</v>
      </c>
      <c r="AW379" s="1">
        <v>155000</v>
      </c>
      <c r="AX379" s="1">
        <v>39270</v>
      </c>
      <c r="AY379" s="1">
        <v>155078.20000000001</v>
      </c>
      <c r="AZ379" s="1">
        <v>0.34</v>
      </c>
      <c r="BA379" s="1">
        <v>14</v>
      </c>
      <c r="BB379" s="1">
        <v>216000</v>
      </c>
      <c r="BC379" s="1">
        <v>255348.2</v>
      </c>
      <c r="BD379" s="1">
        <v>38252</v>
      </c>
      <c r="BE379" s="1">
        <v>17</v>
      </c>
      <c r="BF379" s="1">
        <v>5</v>
      </c>
      <c r="BG379" s="1">
        <v>0.18</v>
      </c>
      <c r="BH379" s="1" t="s">
        <v>483</v>
      </c>
      <c r="BI379" s="1"/>
      <c r="BJ379" s="1">
        <v>11077.014285714287</v>
      </c>
      <c r="BK379" s="1"/>
    </row>
    <row r="380" spans="1:63" ht="16" thickBot="1" x14ac:dyDescent="0.25">
      <c r="A380" s="3">
        <v>380</v>
      </c>
      <c r="B380" s="3" t="s">
        <v>477</v>
      </c>
      <c r="C380" s="3" t="s">
        <v>543</v>
      </c>
      <c r="D380" s="1" t="s">
        <v>478</v>
      </c>
      <c r="E380" s="1"/>
      <c r="F380" s="1"/>
      <c r="G380" s="1" t="s">
        <v>102</v>
      </c>
      <c r="H380" s="1" t="s">
        <v>114</v>
      </c>
      <c r="I380" s="1"/>
      <c r="J380" s="113">
        <f>Table4[[#This Row],[total_cost_npr]]*(1/'Calculations &amp; Assumptions'!$C$6)</f>
        <v>258246.85142417238</v>
      </c>
      <c r="K380" s="113">
        <f>Table4[[#This Row],[system_cost_npr_per_kwp]]*(1/'Calculations &amp; Assumptions'!$C$6)</f>
        <v>11738.493246553289</v>
      </c>
      <c r="L380" s="23">
        <f>IF(Table4[[#This Row],[total_cost_inr]]&gt;0, Table4[[#This Row],[total_cost_inr]]*'Calculations &amp; Assumptions'!$C$7,IF(Table4[[#This Row],[total_cost_eur]]&gt;0,Table4[[#This Row],[total_cost_eur]]*'Calculations &amp; Assumptions'!$C$5,0))</f>
        <v>33546265.999999996</v>
      </c>
      <c r="M380" s="77">
        <f>IF(H380="smartmeter_1ph",Table4[[#This Row],[total_cost_npr]],Table4[[#This Row],[total_cost_npr]]/Table4[[#This Row],[pv_kWp]])</f>
        <v>1524830.2727272725</v>
      </c>
      <c r="N380" s="1"/>
      <c r="O380" s="90">
        <f>Table4[[#This Row],[total_cost_inr]]/Table4[[#This Row],[pv_kWp]]</f>
        <v>0</v>
      </c>
      <c r="P380" s="1">
        <v>258048.19999999998</v>
      </c>
      <c r="Q380" s="3">
        <f>Table4[[#This Row],[total_cost_eur]]/Table4[[#This Row],[pv_kWp]]</f>
        <v>11729.463636363636</v>
      </c>
      <c r="R380" s="1"/>
      <c r="S380" s="1"/>
      <c r="T380" s="1">
        <v>22</v>
      </c>
      <c r="U380" s="1"/>
      <c r="V380" s="1"/>
      <c r="W380" s="1"/>
      <c r="X380" s="1"/>
      <c r="Y380" s="1"/>
      <c r="Z380" s="1"/>
      <c r="AA380" s="1"/>
      <c r="AB380" s="1"/>
      <c r="AC380" s="1"/>
      <c r="AD380" s="1">
        <v>5</v>
      </c>
      <c r="AE380" s="1"/>
      <c r="AF380" s="1"/>
      <c r="AG380" s="1"/>
      <c r="AH380" s="6"/>
      <c r="AI380" s="1"/>
      <c r="AJ380" s="1"/>
      <c r="AK380" s="1"/>
      <c r="AL380" s="1"/>
      <c r="AM380" s="1"/>
      <c r="AN380" s="1"/>
      <c r="AO380" s="1"/>
      <c r="AP380" s="1"/>
      <c r="AQ380" s="1"/>
      <c r="AR380" s="1"/>
      <c r="AS380" s="1" t="s">
        <v>479</v>
      </c>
      <c r="AT380" s="1" t="s">
        <v>485</v>
      </c>
      <c r="AU380" s="1">
        <v>0.2</v>
      </c>
      <c r="AV380" s="1">
        <v>561</v>
      </c>
      <c r="AW380" s="1">
        <v>155000</v>
      </c>
      <c r="AX380" s="1">
        <v>39270</v>
      </c>
      <c r="AY380" s="1">
        <v>155078.20000000001</v>
      </c>
      <c r="AZ380" s="1">
        <v>0.34</v>
      </c>
      <c r="BA380" s="1">
        <v>14</v>
      </c>
      <c r="BB380" s="1">
        <v>218699.99999999997</v>
      </c>
      <c r="BC380" s="1">
        <v>258048.19999999998</v>
      </c>
      <c r="BD380" s="1">
        <v>36681</v>
      </c>
      <c r="BE380" s="1">
        <v>22</v>
      </c>
      <c r="BF380" s="1">
        <v>5</v>
      </c>
      <c r="BG380" s="1">
        <v>0.18</v>
      </c>
      <c r="BH380" s="1" t="s">
        <v>483</v>
      </c>
      <c r="BI380" s="1"/>
      <c r="BJ380" s="1">
        <v>11077.014285714287</v>
      </c>
      <c r="BK380" s="1"/>
    </row>
    <row r="381" spans="1:63" ht="16" thickBot="1" x14ac:dyDescent="0.25">
      <c r="A381" s="3">
        <v>381</v>
      </c>
      <c r="B381" s="3" t="s">
        <v>477</v>
      </c>
      <c r="C381" s="3" t="s">
        <v>543</v>
      </c>
      <c r="D381" s="1" t="s">
        <v>478</v>
      </c>
      <c r="E381" s="1"/>
      <c r="F381" s="1"/>
      <c r="G381" s="1" t="s">
        <v>102</v>
      </c>
      <c r="H381" s="1" t="s">
        <v>114</v>
      </c>
      <c r="I381" s="1"/>
      <c r="J381" s="113">
        <f>Table4[[#This Row],[total_cost_npr]]*(1/'Calculations &amp; Assumptions'!$C$6)</f>
        <v>275560.16936104692</v>
      </c>
      <c r="K381" s="113">
        <f>Table4[[#This Row],[system_cost_npr_per_kwp]]*(1/'Calculations &amp; Assumptions'!$C$6)</f>
        <v>4239.3872209391839</v>
      </c>
      <c r="L381" s="23">
        <f>IF(Table4[[#This Row],[total_cost_inr]]&gt;0, Table4[[#This Row],[total_cost_inr]]*'Calculations &amp; Assumptions'!$C$7,IF(Table4[[#This Row],[total_cost_eur]]&gt;0,Table4[[#This Row],[total_cost_eur]]*'Calculations &amp; Assumptions'!$C$5,0))</f>
        <v>35795266</v>
      </c>
      <c r="M381" s="77">
        <f>IF(H381="smartmeter_1ph",Table4[[#This Row],[total_cost_npr]],Table4[[#This Row],[total_cost_npr]]/Table4[[#This Row],[pv_kWp]])</f>
        <v>550696.4</v>
      </c>
      <c r="N381" s="1"/>
      <c r="O381" s="90">
        <f>Table4[[#This Row],[total_cost_inr]]/Table4[[#This Row],[pv_kWp]]</f>
        <v>0</v>
      </c>
      <c r="P381" s="1">
        <v>275348.2</v>
      </c>
      <c r="Q381" s="1"/>
      <c r="R381" s="1"/>
      <c r="S381" s="1"/>
      <c r="T381" s="1">
        <v>65</v>
      </c>
      <c r="U381" s="1"/>
      <c r="V381" s="1"/>
      <c r="W381" s="1"/>
      <c r="X381" s="1"/>
      <c r="Y381" s="1"/>
      <c r="Z381" s="1"/>
      <c r="AA381" s="1"/>
      <c r="AB381" s="1"/>
      <c r="AC381" s="1"/>
      <c r="AD381" s="1">
        <v>10</v>
      </c>
      <c r="AE381" s="1"/>
      <c r="AF381" s="1"/>
      <c r="AG381" s="1"/>
      <c r="AH381" s="6"/>
      <c r="AI381" s="1"/>
      <c r="AJ381" s="1"/>
      <c r="AK381" s="1"/>
      <c r="AL381" s="1"/>
      <c r="AM381" s="1"/>
      <c r="AN381" s="1"/>
      <c r="AO381" s="1"/>
      <c r="AP381" s="1"/>
      <c r="AQ381" s="1"/>
      <c r="AR381" s="1"/>
      <c r="AS381" s="1" t="s">
        <v>479</v>
      </c>
      <c r="AT381" s="1" t="s">
        <v>485</v>
      </c>
      <c r="AU381" s="1">
        <v>0.35</v>
      </c>
      <c r="AV381" s="1">
        <v>561</v>
      </c>
      <c r="AW381" s="1">
        <v>155000</v>
      </c>
      <c r="AX381" s="1">
        <v>39270</v>
      </c>
      <c r="AY381" s="1">
        <v>155078.20000000001</v>
      </c>
      <c r="AZ381" s="1">
        <v>0.34</v>
      </c>
      <c r="BA381" s="1">
        <v>14</v>
      </c>
      <c r="BB381" s="1">
        <v>236000</v>
      </c>
      <c r="BC381" s="1">
        <v>275348.2</v>
      </c>
      <c r="BD381" s="1">
        <v>30355</v>
      </c>
      <c r="BE381" s="1">
        <v>65</v>
      </c>
      <c r="BF381" s="1">
        <v>10</v>
      </c>
      <c r="BG381" s="1">
        <v>0.18</v>
      </c>
      <c r="BH381" s="1" t="s">
        <v>483</v>
      </c>
      <c r="BI381" s="1"/>
      <c r="BJ381" s="1">
        <v>11077.014285714287</v>
      </c>
      <c r="BK381" s="1"/>
    </row>
    <row r="382" spans="1:63" ht="16" thickBot="1" x14ac:dyDescent="0.25">
      <c r="A382" s="3">
        <v>382</v>
      </c>
      <c r="B382" s="3" t="s">
        <v>477</v>
      </c>
      <c r="C382" s="3" t="s">
        <v>543</v>
      </c>
      <c r="D382" s="1" t="s">
        <v>478</v>
      </c>
      <c r="E382" s="1"/>
      <c r="F382" s="1"/>
      <c r="G382" s="1" t="s">
        <v>102</v>
      </c>
      <c r="H382" s="1" t="s">
        <v>114</v>
      </c>
      <c r="I382" s="1"/>
      <c r="J382" s="113">
        <f>Table4[[#This Row],[total_cost_npr]]*(1/'Calculations &amp; Assumptions'!$C$6)</f>
        <v>266553.24095458043</v>
      </c>
      <c r="K382" s="113">
        <f>Table4[[#This Row],[system_cost_npr_per_kwp]]*(1/'Calculations &amp; Assumptions'!$C$6)</f>
        <v>6346.5057370138202</v>
      </c>
      <c r="L382" s="23">
        <f>IF(Table4[[#This Row],[total_cost_inr]]&gt;0, Table4[[#This Row],[total_cost_inr]]*'Calculations &amp; Assumptions'!$C$7,IF(Table4[[#This Row],[total_cost_eur]]&gt;0,Table4[[#This Row],[total_cost_eur]]*'Calculations &amp; Assumptions'!$C$5,0))</f>
        <v>34625266</v>
      </c>
      <c r="M382" s="77">
        <f>IF(H382="smartmeter_1ph",Table4[[#This Row],[total_cost_npr]],Table4[[#This Row],[total_cost_npr]]/Table4[[#This Row],[pv_kWp]])</f>
        <v>824411.09523809527</v>
      </c>
      <c r="N382" s="1"/>
      <c r="O382" s="90">
        <f>Table4[[#This Row],[total_cost_inr]]/Table4[[#This Row],[pv_kWp]]</f>
        <v>0</v>
      </c>
      <c r="P382" s="1">
        <v>266348.2</v>
      </c>
      <c r="Q382" s="1"/>
      <c r="R382" s="1"/>
      <c r="S382" s="1"/>
      <c r="T382" s="1">
        <v>42</v>
      </c>
      <c r="U382" s="1"/>
      <c r="V382" s="1"/>
      <c r="W382" s="1"/>
      <c r="X382" s="1"/>
      <c r="Y382" s="1"/>
      <c r="Z382" s="1"/>
      <c r="AA382" s="1"/>
      <c r="AB382" s="1"/>
      <c r="AC382" s="1"/>
      <c r="AD382" s="1">
        <v>8</v>
      </c>
      <c r="AE382" s="1"/>
      <c r="AF382" s="1"/>
      <c r="AG382" s="1"/>
      <c r="AH382" s="6"/>
      <c r="AI382" s="1"/>
      <c r="AJ382" s="1"/>
      <c r="AK382" s="1"/>
      <c r="AL382" s="1"/>
      <c r="AM382" s="1"/>
      <c r="AN382" s="1"/>
      <c r="AO382" s="1"/>
      <c r="AP382" s="1"/>
      <c r="AQ382" s="1"/>
      <c r="AR382" s="1"/>
      <c r="AS382" s="1" t="s">
        <v>479</v>
      </c>
      <c r="AT382" s="1" t="s">
        <v>485</v>
      </c>
      <c r="AU382" s="1">
        <v>0.3</v>
      </c>
      <c r="AV382" s="1">
        <v>561</v>
      </c>
      <c r="AW382" s="1">
        <v>155000</v>
      </c>
      <c r="AX382" s="1">
        <v>39270</v>
      </c>
      <c r="AY382" s="1">
        <v>155078.20000000001</v>
      </c>
      <c r="AZ382" s="1">
        <v>0.34</v>
      </c>
      <c r="BA382" s="1">
        <v>14</v>
      </c>
      <c r="BB382" s="1">
        <v>227000</v>
      </c>
      <c r="BC382" s="1">
        <v>266348.2</v>
      </c>
      <c r="BD382" s="1">
        <v>32645</v>
      </c>
      <c r="BE382" s="1">
        <v>42</v>
      </c>
      <c r="BF382" s="1">
        <v>8</v>
      </c>
      <c r="BG382" s="1">
        <v>0.18</v>
      </c>
      <c r="BH382" s="1" t="s">
        <v>483</v>
      </c>
      <c r="BI382" s="1"/>
      <c r="BJ382" s="1">
        <v>11077.014285714287</v>
      </c>
      <c r="BK382" s="1"/>
    </row>
    <row r="383" spans="1:63" ht="16" thickBot="1" x14ac:dyDescent="0.25">
      <c r="A383" s="3">
        <v>383</v>
      </c>
      <c r="B383" s="3" t="s">
        <v>477</v>
      </c>
      <c r="C383" s="3" t="s">
        <v>543</v>
      </c>
      <c r="D383" s="1" t="s">
        <v>478</v>
      </c>
      <c r="E383" s="1"/>
      <c r="F383" s="1"/>
      <c r="G383" s="1" t="s">
        <v>102</v>
      </c>
      <c r="H383" s="1" t="s">
        <v>114</v>
      </c>
      <c r="I383" s="1"/>
      <c r="J383" s="113">
        <f>Table4[[#This Row],[total_cost_npr]]*(1/'Calculations &amp; Assumptions'!$C$6)</f>
        <v>293574.02617397998</v>
      </c>
      <c r="K383" s="113">
        <f>Table4[[#This Row],[system_cost_npr_per_kwp]]*(1/'Calculations &amp; Assumptions'!$C$6)</f>
        <v>3914.3203489863995</v>
      </c>
      <c r="L383" s="23">
        <f>IF(Table4[[#This Row],[total_cost_inr]]&gt;0, Table4[[#This Row],[total_cost_inr]]*'Calculations &amp; Assumptions'!$C$7,IF(Table4[[#This Row],[total_cost_eur]]&gt;0,Table4[[#This Row],[total_cost_eur]]*'Calculations &amp; Assumptions'!$C$5,0))</f>
        <v>38135266</v>
      </c>
      <c r="M383" s="77">
        <f>IF(H383="smartmeter_1ph",Table4[[#This Row],[total_cost_npr]],Table4[[#This Row],[total_cost_npr]]/Table4[[#This Row],[pv_kWp]])</f>
        <v>508470.21333333332</v>
      </c>
      <c r="N383" s="1"/>
      <c r="O383" s="90">
        <f>Table4[[#This Row],[total_cost_inr]]/Table4[[#This Row],[pv_kWp]]</f>
        <v>0</v>
      </c>
      <c r="P383" s="1">
        <v>293348.2</v>
      </c>
      <c r="Q383" s="1"/>
      <c r="R383" s="1"/>
      <c r="S383" s="1"/>
      <c r="T383" s="1">
        <v>75</v>
      </c>
      <c r="U383" s="1"/>
      <c r="V383" s="1"/>
      <c r="W383" s="1"/>
      <c r="X383" s="1"/>
      <c r="Y383" s="1"/>
      <c r="Z383" s="1"/>
      <c r="AA383" s="1"/>
      <c r="AB383" s="1"/>
      <c r="AC383" s="1"/>
      <c r="AD383" s="1">
        <v>25</v>
      </c>
      <c r="AE383" s="1"/>
      <c r="AF383" s="1"/>
      <c r="AG383" s="1"/>
      <c r="AH383" s="6"/>
      <c r="AI383" s="1"/>
      <c r="AJ383" s="1"/>
      <c r="AK383" s="1"/>
      <c r="AL383" s="1"/>
      <c r="AM383" s="1"/>
      <c r="AN383" s="1"/>
      <c r="AO383" s="1"/>
      <c r="AP383" s="1"/>
      <c r="AQ383" s="1"/>
      <c r="AR383" s="1"/>
      <c r="AS383" s="1" t="s">
        <v>479</v>
      </c>
      <c r="AT383" s="1" t="s">
        <v>485</v>
      </c>
      <c r="AU383" s="1">
        <v>0.4</v>
      </c>
      <c r="AV383" s="1">
        <v>561</v>
      </c>
      <c r="AW383" s="1">
        <v>155000</v>
      </c>
      <c r="AX383" s="1">
        <v>39270</v>
      </c>
      <c r="AY383" s="1">
        <v>155078.20000000001</v>
      </c>
      <c r="AZ383" s="1">
        <v>0.34</v>
      </c>
      <c r="BA383" s="1">
        <v>14</v>
      </c>
      <c r="BB383" s="1">
        <v>254000</v>
      </c>
      <c r="BC383" s="1">
        <v>293348.2</v>
      </c>
      <c r="BD383" s="1">
        <v>27469</v>
      </c>
      <c r="BE383" s="1">
        <v>75</v>
      </c>
      <c r="BF383" s="1">
        <v>25</v>
      </c>
      <c r="BG383" s="1">
        <v>0.18</v>
      </c>
      <c r="BH383" s="1" t="s">
        <v>483</v>
      </c>
      <c r="BI383" s="1"/>
      <c r="BJ383" s="1">
        <v>11077.014285714287</v>
      </c>
      <c r="BK383" s="1"/>
    </row>
    <row r="384" spans="1:63" ht="16" thickBot="1" x14ac:dyDescent="0.25">
      <c r="A384" s="3">
        <v>384</v>
      </c>
      <c r="B384" s="3" t="s">
        <v>477</v>
      </c>
      <c r="C384" s="3" t="s">
        <v>543</v>
      </c>
      <c r="D384" s="1" t="s">
        <v>478</v>
      </c>
      <c r="E384" s="1"/>
      <c r="F384" s="1"/>
      <c r="G384" s="1" t="s">
        <v>102</v>
      </c>
      <c r="H384" s="1" t="s">
        <v>114</v>
      </c>
      <c r="I384" s="1"/>
      <c r="J384" s="113">
        <f>Table4[[#This Row],[total_cost_npr]]*(1/'Calculations &amp; Assumptions'!$C$6)</f>
        <v>304582.49422632792</v>
      </c>
      <c r="K384" s="113">
        <f>Table4[[#This Row],[system_cost_npr_per_kwp]]*(1/'Calculations &amp; Assumptions'!$C$6)</f>
        <v>3384.2499358480877</v>
      </c>
      <c r="L384" s="23">
        <f>IF(Table4[[#This Row],[total_cost_inr]]&gt;0, Table4[[#This Row],[total_cost_inr]]*'Calculations &amp; Assumptions'!$C$7,IF(Table4[[#This Row],[total_cost_eur]]&gt;0,Table4[[#This Row],[total_cost_eur]]*'Calculations &amp; Assumptions'!$C$5,0))</f>
        <v>39565266</v>
      </c>
      <c r="M384" s="77">
        <f>IF(H384="smartmeter_1ph",Table4[[#This Row],[total_cost_npr]],Table4[[#This Row],[total_cost_npr]]/Table4[[#This Row],[pv_kWp]])</f>
        <v>439614.06666666665</v>
      </c>
      <c r="N384" s="1"/>
      <c r="O384" s="1">
        <f>Table4[[#This Row],[total_cost_inr]]/Table4[[#This Row],[pv_kWp]]</f>
        <v>0</v>
      </c>
      <c r="P384" s="1">
        <v>304348.2</v>
      </c>
      <c r="Q384" s="1"/>
      <c r="R384" s="1"/>
      <c r="S384" s="1"/>
      <c r="T384" s="1">
        <v>90</v>
      </c>
      <c r="U384" s="1"/>
      <c r="V384" s="1"/>
      <c r="W384" s="1"/>
      <c r="X384" s="1"/>
      <c r="Y384" s="1"/>
      <c r="Z384" s="1"/>
      <c r="AA384" s="1"/>
      <c r="AB384" s="1"/>
      <c r="AC384" s="1"/>
      <c r="AD384" s="1">
        <v>35</v>
      </c>
      <c r="AE384" s="1"/>
      <c r="AF384" s="1"/>
      <c r="AG384" s="1"/>
      <c r="AH384" s="6"/>
      <c r="AI384" s="1"/>
      <c r="AJ384" s="1"/>
      <c r="AK384" s="1"/>
      <c r="AL384" s="1"/>
      <c r="AM384" s="1"/>
      <c r="AN384" s="1"/>
      <c r="AO384" s="1"/>
      <c r="AP384" s="1"/>
      <c r="AQ384" s="1"/>
      <c r="AR384" s="1"/>
      <c r="AS384" s="1" t="s">
        <v>479</v>
      </c>
      <c r="AT384" s="1" t="s">
        <v>485</v>
      </c>
      <c r="AU384" s="1">
        <v>0.45</v>
      </c>
      <c r="AV384" s="1">
        <v>561</v>
      </c>
      <c r="AW384" s="1">
        <v>155000</v>
      </c>
      <c r="AX384" s="1">
        <v>39270</v>
      </c>
      <c r="AY384" s="1">
        <v>155078.20000000001</v>
      </c>
      <c r="AZ384" s="1">
        <v>0.34</v>
      </c>
      <c r="BA384" s="1">
        <v>14</v>
      </c>
      <c r="BB384" s="1">
        <v>265000</v>
      </c>
      <c r="BC384" s="1">
        <v>304348.2</v>
      </c>
      <c r="BD384" s="1">
        <v>25282</v>
      </c>
      <c r="BE384" s="1">
        <v>90</v>
      </c>
      <c r="BF384" s="1">
        <v>35</v>
      </c>
      <c r="BG384" s="1">
        <v>0.18</v>
      </c>
      <c r="BH384" s="1" t="s">
        <v>483</v>
      </c>
      <c r="BI384" s="1"/>
      <c r="BJ384" s="1">
        <v>11077.014285714287</v>
      </c>
      <c r="BK384" s="1"/>
    </row>
    <row r="385" spans="1:63" ht="16" thickBot="1" x14ac:dyDescent="0.25">
      <c r="A385" s="3">
        <v>385</v>
      </c>
      <c r="B385" s="3" t="s">
        <v>477</v>
      </c>
      <c r="C385" s="3" t="s">
        <v>543</v>
      </c>
      <c r="D385" s="1" t="s">
        <v>478</v>
      </c>
      <c r="E385" s="1"/>
      <c r="F385" s="1"/>
      <c r="G385" s="1" t="s">
        <v>102</v>
      </c>
      <c r="H385" s="1" t="s">
        <v>114</v>
      </c>
      <c r="I385" s="1"/>
      <c r="J385" s="113">
        <f>Table4[[#This Row],[total_cost_npr]]*(1/'Calculations &amp; Assumptions'!$C$6)</f>
        <v>261549.3918398768</v>
      </c>
      <c r="K385" s="113">
        <f>Table4[[#This Row],[system_cost_npr_per_kwp]]*(1/'Calculations &amp; Assumptions'!$C$6)</f>
        <v>8718.3130613292269</v>
      </c>
      <c r="L385" s="23">
        <f>IF(Table4[[#This Row],[total_cost_inr]]&gt;0, Table4[[#This Row],[total_cost_inr]]*'Calculations &amp; Assumptions'!$C$7,IF(Table4[[#This Row],[total_cost_eur]]&gt;0,Table4[[#This Row],[total_cost_eur]]*'Calculations &amp; Assumptions'!$C$5,0))</f>
        <v>33975266</v>
      </c>
      <c r="M385" s="77">
        <f>IF(H385="smartmeter_1ph",Table4[[#This Row],[total_cost_npr]],Table4[[#This Row],[total_cost_npr]]/Table4[[#This Row],[pv_kWp]])</f>
        <v>1132508.8666666667</v>
      </c>
      <c r="N385" s="1"/>
      <c r="O385" s="1">
        <f>Table4[[#This Row],[total_cost_inr]]/Table4[[#This Row],[pv_kWp]]</f>
        <v>0</v>
      </c>
      <c r="P385" s="1">
        <v>261348.2</v>
      </c>
      <c r="Q385" s="1"/>
      <c r="R385" s="1"/>
      <c r="S385" s="1"/>
      <c r="T385" s="1">
        <v>30</v>
      </c>
      <c r="U385" s="1"/>
      <c r="V385" s="1"/>
      <c r="W385" s="1"/>
      <c r="X385" s="1"/>
      <c r="Y385" s="1"/>
      <c r="Z385" s="1"/>
      <c r="AA385" s="1"/>
      <c r="AB385" s="1"/>
      <c r="AC385" s="1"/>
      <c r="AD385" s="1">
        <v>8</v>
      </c>
      <c r="AE385" s="1"/>
      <c r="AF385" s="1"/>
      <c r="AG385" s="1"/>
      <c r="AH385" s="6"/>
      <c r="AI385" s="1"/>
      <c r="AJ385" s="1"/>
      <c r="AK385" s="1"/>
      <c r="AL385" s="1"/>
      <c r="AM385" s="1"/>
      <c r="AN385" s="1"/>
      <c r="AO385" s="1"/>
      <c r="AP385" s="1"/>
      <c r="AQ385" s="1"/>
      <c r="AR385" s="1"/>
      <c r="AS385" s="1" t="s">
        <v>479</v>
      </c>
      <c r="AT385" s="1" t="s">
        <v>485</v>
      </c>
      <c r="AU385" s="1">
        <v>0.25</v>
      </c>
      <c r="AV385" s="1">
        <v>561</v>
      </c>
      <c r="AW385" s="1">
        <v>155000</v>
      </c>
      <c r="AX385" s="1">
        <v>39270</v>
      </c>
      <c r="AY385" s="1">
        <v>155078.20000000001</v>
      </c>
      <c r="AZ385" s="1">
        <v>0.34</v>
      </c>
      <c r="BA385" s="1">
        <v>14</v>
      </c>
      <c r="BB385" s="1">
        <v>222000</v>
      </c>
      <c r="BC385" s="1">
        <v>261348.2</v>
      </c>
      <c r="BD385" s="1">
        <v>34673</v>
      </c>
      <c r="BE385" s="1">
        <v>30</v>
      </c>
      <c r="BF385" s="1">
        <v>8</v>
      </c>
      <c r="BG385" s="1">
        <v>0.18</v>
      </c>
      <c r="BH385" s="1" t="s">
        <v>483</v>
      </c>
      <c r="BI385" s="1"/>
      <c r="BJ385" s="1">
        <v>11077.014285714287</v>
      </c>
      <c r="BK385" s="1"/>
    </row>
    <row r="386" spans="1:63" ht="16" thickBot="1" x14ac:dyDescent="0.25">
      <c r="A386" s="3">
        <v>386</v>
      </c>
      <c r="B386" s="3" t="s">
        <v>477</v>
      </c>
      <c r="C386" s="3" t="s">
        <v>543</v>
      </c>
      <c r="D386" s="1" t="s">
        <v>478</v>
      </c>
      <c r="E386" s="1"/>
      <c r="F386" s="1"/>
      <c r="G386" s="1" t="s">
        <v>102</v>
      </c>
      <c r="H386" s="1" t="s">
        <v>114</v>
      </c>
      <c r="I386" s="1"/>
      <c r="J386" s="113">
        <f>Table4[[#This Row],[total_cost_npr]]*(1/'Calculations &amp; Assumptions'!$C$6)</f>
        <v>321595.58121632022</v>
      </c>
      <c r="K386" s="113">
        <f>Table4[[#This Row],[system_cost_npr_per_kwp]]*(1/'Calculations &amp; Assumptions'!$C$6)</f>
        <v>2923.5961928756383</v>
      </c>
      <c r="L386" s="23">
        <f>IF(Table4[[#This Row],[total_cost_inr]]&gt;0, Table4[[#This Row],[total_cost_inr]]*'Calculations &amp; Assumptions'!$C$7,IF(Table4[[#This Row],[total_cost_eur]]&gt;0,Table4[[#This Row],[total_cost_eur]]*'Calculations &amp; Assumptions'!$C$5,0))</f>
        <v>41775266</v>
      </c>
      <c r="M386" s="77">
        <f>IF(H386="smartmeter_1ph",Table4[[#This Row],[total_cost_npr]],Table4[[#This Row],[total_cost_npr]]/Table4[[#This Row],[pv_kWp]])</f>
        <v>379775.14545454545</v>
      </c>
      <c r="N386" s="1"/>
      <c r="O386" s="1">
        <f>Table4[[#This Row],[total_cost_inr]]/Table4[[#This Row],[pv_kWp]]</f>
        <v>0</v>
      </c>
      <c r="P386" s="1">
        <v>321348.2</v>
      </c>
      <c r="Q386" s="1"/>
      <c r="R386" s="1"/>
      <c r="S386" s="1"/>
      <c r="T386" s="1">
        <v>110</v>
      </c>
      <c r="U386" s="1"/>
      <c r="V386" s="1"/>
      <c r="W386" s="1"/>
      <c r="X386" s="1"/>
      <c r="Y386" s="1"/>
      <c r="Z386" s="1"/>
      <c r="AA386" s="1"/>
      <c r="AB386" s="1"/>
      <c r="AC386" s="1"/>
      <c r="AD386" s="1">
        <v>50</v>
      </c>
      <c r="AE386" s="1"/>
      <c r="AF386" s="1"/>
      <c r="AG386" s="1"/>
      <c r="AH386" s="6"/>
      <c r="AI386" s="1"/>
      <c r="AJ386" s="1"/>
      <c r="AK386" s="1"/>
      <c r="AL386" s="1"/>
      <c r="AM386" s="1"/>
      <c r="AN386" s="1"/>
      <c r="AO386" s="1"/>
      <c r="AP386" s="1"/>
      <c r="AQ386" s="1"/>
      <c r="AR386" s="1"/>
      <c r="AS386" s="1" t="s">
        <v>479</v>
      </c>
      <c r="AT386" s="1" t="s">
        <v>485</v>
      </c>
      <c r="AU386" s="1">
        <v>0.5</v>
      </c>
      <c r="AV386" s="1">
        <v>561</v>
      </c>
      <c r="AW386" s="1">
        <v>155000</v>
      </c>
      <c r="AX386" s="1">
        <v>39270</v>
      </c>
      <c r="AY386" s="1">
        <v>155078.20000000001</v>
      </c>
      <c r="AZ386" s="1">
        <v>0.34</v>
      </c>
      <c r="BA386" s="1">
        <v>14</v>
      </c>
      <c r="BB386" s="1">
        <v>282000</v>
      </c>
      <c r="BC386" s="1">
        <v>321348.2</v>
      </c>
      <c r="BD386" s="1">
        <v>22337</v>
      </c>
      <c r="BE386" s="1">
        <v>110</v>
      </c>
      <c r="BF386" s="1">
        <v>50</v>
      </c>
      <c r="BG386" s="1">
        <v>0.18</v>
      </c>
      <c r="BH386" s="1" t="s">
        <v>483</v>
      </c>
      <c r="BI386" s="1"/>
      <c r="BJ386" s="1">
        <v>11077.014285714287</v>
      </c>
      <c r="BK386" s="1"/>
    </row>
    <row r="387" spans="1:63" ht="16" thickBot="1" x14ac:dyDescent="0.25">
      <c r="A387" s="3">
        <v>387</v>
      </c>
      <c r="B387" s="10" t="s">
        <v>477</v>
      </c>
      <c r="C387" s="3" t="s">
        <v>543</v>
      </c>
      <c r="D387" s="11" t="s">
        <v>478</v>
      </c>
      <c r="E387" s="11"/>
      <c r="F387" s="11"/>
      <c r="G387" s="1" t="s">
        <v>102</v>
      </c>
      <c r="H387" s="1" t="s">
        <v>114</v>
      </c>
      <c r="I387" s="11"/>
      <c r="J387" s="113">
        <f>Table4[[#This Row],[total_cost_npr]]*(1/'Calculations &amp; Assumptions'!$C$6)</f>
        <v>332604.04926866817</v>
      </c>
      <c r="K387" s="113">
        <f>Table4[[#This Row],[system_cost_npr_per_kwp]]*(1/'Calculations &amp; Assumptions'!$C$6)</f>
        <v>2660.8323941493454</v>
      </c>
      <c r="L387" s="23">
        <f>IF(Table4[[#This Row],[total_cost_inr]]&gt;0, Table4[[#This Row],[total_cost_inr]]*'Calculations &amp; Assumptions'!$C$7,IF(Table4[[#This Row],[total_cost_eur]]&gt;0,Table4[[#This Row],[total_cost_eur]]*'Calculations &amp; Assumptions'!$C$5,0))</f>
        <v>43205266</v>
      </c>
      <c r="M387" s="77">
        <f>IF(H387="smartmeter_1ph",Table4[[#This Row],[total_cost_npr]],Table4[[#This Row],[total_cost_npr]]/Table4[[#This Row],[pv_kWp]])</f>
        <v>345642.12800000003</v>
      </c>
      <c r="N387" s="11"/>
      <c r="O387" s="1">
        <f>Table4[[#This Row],[total_cost_inr]]/Table4[[#This Row],[pv_kWp]]</f>
        <v>0</v>
      </c>
      <c r="P387" s="11">
        <v>332348.2</v>
      </c>
      <c r="Q387" s="11"/>
      <c r="R387" s="11"/>
      <c r="S387" s="11"/>
      <c r="T387" s="11">
        <v>125</v>
      </c>
      <c r="U387" s="11"/>
      <c r="V387" s="11"/>
      <c r="W387" s="11"/>
      <c r="X387" s="11"/>
      <c r="Y387" s="11"/>
      <c r="Z387" s="11"/>
      <c r="AA387" s="11"/>
      <c r="AB387" s="11"/>
      <c r="AC387" s="11"/>
      <c r="AD387" s="11">
        <v>60</v>
      </c>
      <c r="AE387" s="11"/>
      <c r="AF387" s="11"/>
      <c r="AG387" s="11"/>
      <c r="AH387" s="12"/>
      <c r="AI387" s="11"/>
      <c r="AJ387" s="11"/>
      <c r="AK387" s="11"/>
      <c r="AL387" s="11"/>
      <c r="AM387" s="11"/>
      <c r="AN387" s="11"/>
      <c r="AO387" s="11"/>
      <c r="AP387" s="11"/>
      <c r="AQ387" s="11"/>
      <c r="AR387" s="11"/>
      <c r="AS387" s="1" t="s">
        <v>479</v>
      </c>
      <c r="AT387" s="1" t="s">
        <v>485</v>
      </c>
      <c r="AU387" s="1">
        <v>0.55000000000000004</v>
      </c>
      <c r="AV387" s="1">
        <v>561</v>
      </c>
      <c r="AW387" s="1">
        <v>155000</v>
      </c>
      <c r="AX387" s="1">
        <v>39270</v>
      </c>
      <c r="AY387" s="1">
        <v>155078.20000000001</v>
      </c>
      <c r="AZ387" s="1">
        <v>0.34</v>
      </c>
      <c r="BA387" s="1">
        <v>14</v>
      </c>
      <c r="BB387" s="1">
        <v>293000</v>
      </c>
      <c r="BC387" s="1">
        <v>332348.2</v>
      </c>
      <c r="BD387" s="1">
        <v>20642</v>
      </c>
      <c r="BE387" s="1">
        <v>125</v>
      </c>
      <c r="BF387" s="1">
        <v>60</v>
      </c>
      <c r="BG387" s="1">
        <v>0.18</v>
      </c>
      <c r="BH387" s="1" t="s">
        <v>483</v>
      </c>
      <c r="BI387" s="1"/>
      <c r="BJ387" s="1">
        <v>11077.014285714287</v>
      </c>
      <c r="BK387" s="1"/>
    </row>
    <row r="388" spans="1:63" ht="16" thickBot="1" x14ac:dyDescent="0.25">
      <c r="A388" s="3">
        <v>388</v>
      </c>
      <c r="B388" s="3" t="s">
        <v>477</v>
      </c>
      <c r="C388" s="3" t="s">
        <v>543</v>
      </c>
      <c r="D388" s="1" t="s">
        <v>478</v>
      </c>
      <c r="E388" s="1"/>
      <c r="F388" s="1"/>
      <c r="G388" s="1" t="s">
        <v>102</v>
      </c>
      <c r="H388" s="1" t="s">
        <v>114</v>
      </c>
      <c r="I388" s="1"/>
      <c r="J388" s="113">
        <f>Table4[[#This Row],[total_cost_npr]]*(1/'Calculations &amp; Assumptions'!$C$6)</f>
        <v>343612.51732101612</v>
      </c>
      <c r="K388" s="113">
        <f>Table4[[#This Row],[system_cost_npr_per_kwp]]*(1/'Calculations &amp; Assumptions'!$C$6)</f>
        <v>2684.4727915704384</v>
      </c>
      <c r="L388" s="23">
        <f>IF(Table4[[#This Row],[total_cost_inr]]&gt;0, Table4[[#This Row],[total_cost_inr]]*'Calculations &amp; Assumptions'!$C$7,IF(Table4[[#This Row],[total_cost_eur]]&gt;0,Table4[[#This Row],[total_cost_eur]]*'Calculations &amp; Assumptions'!$C$5,0))</f>
        <v>44635266</v>
      </c>
      <c r="M388" s="77">
        <f>IF(H388="smartmeter_1ph",Table4[[#This Row],[total_cost_npr]],Table4[[#This Row],[total_cost_npr]]/Table4[[#This Row],[pv_kWp]])</f>
        <v>348713.015625</v>
      </c>
      <c r="N388" s="1"/>
      <c r="O388" s="1">
        <f>Table4[[#This Row],[total_cost_inr]]/Table4[[#This Row],[pv_kWp]]</f>
        <v>0</v>
      </c>
      <c r="P388" s="1">
        <v>343348.2</v>
      </c>
      <c r="Q388" s="1"/>
      <c r="R388" s="1"/>
      <c r="S388" s="1"/>
      <c r="T388" s="1">
        <v>128</v>
      </c>
      <c r="U388" s="1"/>
      <c r="V388" s="1"/>
      <c r="W388" s="1"/>
      <c r="X388" s="1"/>
      <c r="Y388" s="1"/>
      <c r="Z388" s="1"/>
      <c r="AA388" s="1"/>
      <c r="AB388" s="1"/>
      <c r="AC388" s="1"/>
      <c r="AD388" s="1">
        <v>88</v>
      </c>
      <c r="AE388" s="1"/>
      <c r="AF388" s="1"/>
      <c r="AG388" s="1"/>
      <c r="AH388" s="6"/>
      <c r="AI388" s="1"/>
      <c r="AJ388" s="1"/>
      <c r="AK388" s="1"/>
      <c r="AL388" s="1"/>
      <c r="AM388" s="1"/>
      <c r="AN388" s="1"/>
      <c r="AO388" s="1"/>
      <c r="AP388" s="1"/>
      <c r="AQ388" s="1"/>
      <c r="AR388" s="1"/>
      <c r="AS388" s="1" t="s">
        <v>479</v>
      </c>
      <c r="AT388" s="1" t="s">
        <v>485</v>
      </c>
      <c r="AU388" s="1">
        <v>0.6</v>
      </c>
      <c r="AV388" s="1">
        <v>561</v>
      </c>
      <c r="AW388" s="1">
        <v>155000</v>
      </c>
      <c r="AX388" s="1">
        <v>39270</v>
      </c>
      <c r="AY388" s="1">
        <v>155078.20000000001</v>
      </c>
      <c r="AZ388" s="1">
        <v>0.34</v>
      </c>
      <c r="BA388" s="1">
        <v>14</v>
      </c>
      <c r="BB388" s="1">
        <v>304000</v>
      </c>
      <c r="BC388" s="1">
        <v>343348.2</v>
      </c>
      <c r="BD388" s="1">
        <v>18495</v>
      </c>
      <c r="BE388" s="1">
        <v>128</v>
      </c>
      <c r="BF388" s="1">
        <v>88</v>
      </c>
      <c r="BG388" s="1">
        <v>0.18</v>
      </c>
      <c r="BH388" s="1" t="s">
        <v>483</v>
      </c>
      <c r="BI388" s="1"/>
      <c r="BJ388" s="1">
        <v>11077.014285714287</v>
      </c>
      <c r="BK388" s="1"/>
    </row>
    <row r="389" spans="1:63" ht="16" thickBot="1" x14ac:dyDescent="0.25">
      <c r="A389" s="3">
        <v>389</v>
      </c>
      <c r="B389" s="3" t="s">
        <v>477</v>
      </c>
      <c r="C389" s="3" t="s">
        <v>543</v>
      </c>
      <c r="D389" s="1" t="s">
        <v>478</v>
      </c>
      <c r="E389" s="1"/>
      <c r="F389" s="1"/>
      <c r="G389" s="1" t="s">
        <v>102</v>
      </c>
      <c r="H389" s="1" t="s">
        <v>114</v>
      </c>
      <c r="I389" s="1"/>
      <c r="J389" s="113">
        <f>Table4[[#This Row],[total_cost_npr]]*(1/'Calculations &amp; Assumptions'!$C$6)</f>
        <v>365629.45342571207</v>
      </c>
      <c r="K389" s="113">
        <f>Table4[[#This Row],[system_cost_npr_per_kwp]]*(1/'Calculations &amp; Assumptions'!$C$6)</f>
        <v>2539.093426567445</v>
      </c>
      <c r="L389" s="23">
        <f>IF(Table4[[#This Row],[total_cost_inr]]&gt;0, Table4[[#This Row],[total_cost_inr]]*'Calculations &amp; Assumptions'!$C$7,IF(Table4[[#This Row],[total_cost_eur]]&gt;0,Table4[[#This Row],[total_cost_eur]]*'Calculations &amp; Assumptions'!$C$5,0))</f>
        <v>47495266</v>
      </c>
      <c r="M389" s="77">
        <f>IF(H389="smartmeter_1ph",Table4[[#This Row],[total_cost_npr]],Table4[[#This Row],[total_cost_npr]]/Table4[[#This Row],[pv_kWp]])</f>
        <v>329828.23611111112</v>
      </c>
      <c r="N389" s="1"/>
      <c r="O389" s="1">
        <f>Table4[[#This Row],[total_cost_inr]]/Table4[[#This Row],[pv_kWp]]</f>
        <v>0</v>
      </c>
      <c r="P389" s="1">
        <v>365348.2</v>
      </c>
      <c r="Q389" s="1"/>
      <c r="R389" s="1"/>
      <c r="S389" s="1"/>
      <c r="T389" s="1">
        <v>144</v>
      </c>
      <c r="U389" s="1"/>
      <c r="V389" s="1"/>
      <c r="W389" s="1"/>
      <c r="X389" s="1"/>
      <c r="Y389" s="1"/>
      <c r="Z389" s="1"/>
      <c r="AA389" s="1"/>
      <c r="AB389" s="1"/>
      <c r="AC389" s="1"/>
      <c r="AD389" s="1">
        <v>113</v>
      </c>
      <c r="AE389" s="1"/>
      <c r="AF389" s="1"/>
      <c r="AG389" s="1"/>
      <c r="AH389" s="6"/>
      <c r="AI389" s="1"/>
      <c r="AJ389" s="1"/>
      <c r="AK389" s="1"/>
      <c r="AL389" s="1"/>
      <c r="AM389" s="1"/>
      <c r="AN389" s="1"/>
      <c r="AO389" s="1"/>
      <c r="AP389" s="1"/>
      <c r="AQ389" s="1"/>
      <c r="AR389" s="1"/>
      <c r="AS389" s="1" t="s">
        <v>479</v>
      </c>
      <c r="AT389" s="1" t="s">
        <v>485</v>
      </c>
      <c r="AU389" s="1">
        <v>0.65</v>
      </c>
      <c r="AV389" s="1">
        <v>561</v>
      </c>
      <c r="AW389" s="1">
        <v>155000</v>
      </c>
      <c r="AX389" s="1">
        <v>39270</v>
      </c>
      <c r="AY389" s="1">
        <v>155078.20000000001</v>
      </c>
      <c r="AZ389" s="1">
        <v>0.34</v>
      </c>
      <c r="BA389" s="1">
        <v>14</v>
      </c>
      <c r="BB389" s="1">
        <v>326000</v>
      </c>
      <c r="BC389" s="1">
        <v>365348.2</v>
      </c>
      <c r="BD389" s="1">
        <v>16264</v>
      </c>
      <c r="BE389" s="1">
        <v>144</v>
      </c>
      <c r="BF389" s="1">
        <v>113</v>
      </c>
      <c r="BG389" s="1">
        <v>0.18</v>
      </c>
      <c r="BH389" s="1" t="s">
        <v>483</v>
      </c>
      <c r="BI389" s="1"/>
      <c r="BJ389" s="1">
        <v>11077.014285714287</v>
      </c>
      <c r="BK389" s="1"/>
    </row>
    <row r="390" spans="1:63" ht="16" thickBot="1" x14ac:dyDescent="0.25">
      <c r="A390" s="3">
        <v>390</v>
      </c>
      <c r="B390" s="3" t="s">
        <v>477</v>
      </c>
      <c r="C390" s="3" t="s">
        <v>543</v>
      </c>
      <c r="D390" s="1" t="s">
        <v>478</v>
      </c>
      <c r="E390" s="1"/>
      <c r="F390" s="1"/>
      <c r="G390" s="1" t="s">
        <v>102</v>
      </c>
      <c r="H390" s="1" t="s">
        <v>114</v>
      </c>
      <c r="I390" s="1"/>
      <c r="J390" s="113">
        <f>Table4[[#This Row],[total_cost_npr]]*(1/'Calculations &amp; Assumptions'!$C$6)</f>
        <v>384644.08006158582</v>
      </c>
      <c r="K390" s="113">
        <f>Table4[[#This Row],[system_cost_npr_per_kwp]]*(1/'Calculations &amp; Assumptions'!$C$6)</f>
        <v>2389.0936649787941</v>
      </c>
      <c r="L390" s="23">
        <f>IF(Table4[[#This Row],[total_cost_inr]]&gt;0, Table4[[#This Row],[total_cost_inr]]*'Calculations &amp; Assumptions'!$C$7,IF(Table4[[#This Row],[total_cost_eur]]&gt;0,Table4[[#This Row],[total_cost_eur]]*'Calculations &amp; Assumptions'!$C$5,0))</f>
        <v>49965266</v>
      </c>
      <c r="M390" s="77">
        <f>IF(H390="smartmeter_1ph",Table4[[#This Row],[total_cost_npr]],Table4[[#This Row],[total_cost_npr]]/Table4[[#This Row],[pv_kWp]])</f>
        <v>310343.26708074537</v>
      </c>
      <c r="N390" s="1"/>
      <c r="O390" s="1">
        <f>Table4[[#This Row],[total_cost_inr]]/Table4[[#This Row],[pv_kWp]]</f>
        <v>0</v>
      </c>
      <c r="P390" s="1">
        <v>384348.2</v>
      </c>
      <c r="Q390" s="1"/>
      <c r="R390" s="1"/>
      <c r="S390" s="1"/>
      <c r="T390" s="1">
        <v>161</v>
      </c>
      <c r="U390" s="1"/>
      <c r="V390" s="1"/>
      <c r="W390" s="1"/>
      <c r="X390" s="1"/>
      <c r="Y390" s="1"/>
      <c r="Z390" s="1"/>
      <c r="AA390" s="1"/>
      <c r="AB390" s="1"/>
      <c r="AC390" s="1"/>
      <c r="AD390" s="1">
        <v>139</v>
      </c>
      <c r="AE390" s="1"/>
      <c r="AF390" s="1"/>
      <c r="AG390" s="1"/>
      <c r="AH390" s="6"/>
      <c r="AI390" s="1"/>
      <c r="AJ390" s="1"/>
      <c r="AK390" s="1"/>
      <c r="AL390" s="1"/>
      <c r="AM390" s="1"/>
      <c r="AN390" s="1"/>
      <c r="AO390" s="1"/>
      <c r="AP390" s="1"/>
      <c r="AQ390" s="1"/>
      <c r="AR390" s="1"/>
      <c r="AS390" s="1" t="s">
        <v>479</v>
      </c>
      <c r="AT390" s="1" t="s">
        <v>485</v>
      </c>
      <c r="AU390" s="1">
        <v>0.7</v>
      </c>
      <c r="AV390" s="1">
        <v>561</v>
      </c>
      <c r="AW390" s="1">
        <v>155000</v>
      </c>
      <c r="AX390" s="1">
        <v>39270</v>
      </c>
      <c r="AY390" s="1">
        <v>155078.20000000001</v>
      </c>
      <c r="AZ390" s="1">
        <v>0.34</v>
      </c>
      <c r="BA390" s="1">
        <v>14</v>
      </c>
      <c r="BB390" s="1">
        <v>345000</v>
      </c>
      <c r="BC390" s="1">
        <v>384348.2</v>
      </c>
      <c r="BD390" s="1">
        <v>14036</v>
      </c>
      <c r="BE390" s="1">
        <v>161</v>
      </c>
      <c r="BF390" s="1">
        <v>139</v>
      </c>
      <c r="BG390" s="1">
        <v>0.18</v>
      </c>
      <c r="BH390" s="1" t="s">
        <v>483</v>
      </c>
      <c r="BI390" s="1"/>
      <c r="BJ390" s="1">
        <v>11077.014285714287</v>
      </c>
      <c r="BK390" s="1"/>
    </row>
    <row r="391" spans="1:63" ht="16" thickBot="1" x14ac:dyDescent="0.25">
      <c r="A391" s="3">
        <v>391</v>
      </c>
      <c r="B391" s="3" t="s">
        <v>477</v>
      </c>
      <c r="C391" s="3" t="s">
        <v>543</v>
      </c>
      <c r="D391" s="1" t="s">
        <v>478</v>
      </c>
      <c r="E391" s="1"/>
      <c r="F391" s="1"/>
      <c r="G391" s="1" t="s">
        <v>102</v>
      </c>
      <c r="H391" s="1" t="s">
        <v>114</v>
      </c>
      <c r="I391" s="1"/>
      <c r="J391" s="113">
        <f>Table4[[#This Row],[total_cost_npr]]*(1/'Calculations &amp; Assumptions'!$C$6)</f>
        <v>401657.16705157812</v>
      </c>
      <c r="K391" s="113">
        <f>Table4[[#This Row],[system_cost_npr_per_kwp]]*(1/'Calculations &amp; Assumptions'!$C$6)</f>
        <v>2464.1543990894365</v>
      </c>
      <c r="L391" s="23">
        <f>IF(Table4[[#This Row],[total_cost_inr]]&gt;0, Table4[[#This Row],[total_cost_inr]]*'Calculations &amp; Assumptions'!$C$7,IF(Table4[[#This Row],[total_cost_eur]]&gt;0,Table4[[#This Row],[total_cost_eur]]*'Calculations &amp; Assumptions'!$C$5,0))</f>
        <v>52175266</v>
      </c>
      <c r="M391" s="77">
        <f>IF(H391="smartmeter_1ph",Table4[[#This Row],[total_cost_npr]],Table4[[#This Row],[total_cost_npr]]/Table4[[#This Row],[pv_kWp]])</f>
        <v>320093.65644171782</v>
      </c>
      <c r="N391" s="1"/>
      <c r="O391" s="1">
        <f>Table4[[#This Row],[total_cost_inr]]/Table4[[#This Row],[pv_kWp]]</f>
        <v>0</v>
      </c>
      <c r="P391" s="1">
        <v>401348.2</v>
      </c>
      <c r="Q391" s="1"/>
      <c r="R391" s="1"/>
      <c r="S391" s="1"/>
      <c r="T391" s="1">
        <v>163</v>
      </c>
      <c r="U391" s="1"/>
      <c r="V391" s="1"/>
      <c r="W391" s="1"/>
      <c r="X391" s="1"/>
      <c r="Y391" s="1"/>
      <c r="Z391" s="1"/>
      <c r="AA391" s="1"/>
      <c r="AB391" s="1"/>
      <c r="AC391" s="1"/>
      <c r="AD391" s="1">
        <v>180</v>
      </c>
      <c r="AE391" s="1"/>
      <c r="AF391" s="1"/>
      <c r="AG391" s="1"/>
      <c r="AH391" s="6"/>
      <c r="AI391" s="1"/>
      <c r="AJ391" s="1"/>
      <c r="AK391" s="1"/>
      <c r="AL391" s="1"/>
      <c r="AM391" s="1"/>
      <c r="AN391" s="1"/>
      <c r="AO391" s="1"/>
      <c r="AP391" s="1"/>
      <c r="AQ391" s="1"/>
      <c r="AR391" s="1"/>
      <c r="AS391" s="1" t="s">
        <v>479</v>
      </c>
      <c r="AT391" s="1" t="s">
        <v>485</v>
      </c>
      <c r="AU391" s="1">
        <v>0.75</v>
      </c>
      <c r="AV391" s="1">
        <v>561</v>
      </c>
      <c r="AW391" s="1">
        <v>155000</v>
      </c>
      <c r="AX391" s="1">
        <v>39270</v>
      </c>
      <c r="AY391" s="1">
        <v>155078.20000000001</v>
      </c>
      <c r="AZ391" s="1">
        <v>0.34</v>
      </c>
      <c r="BA391" s="1">
        <v>14</v>
      </c>
      <c r="BB391" s="1">
        <v>362000</v>
      </c>
      <c r="BC391" s="1">
        <v>401348.2</v>
      </c>
      <c r="BD391" s="1">
        <v>11771</v>
      </c>
      <c r="BE391" s="1">
        <v>163</v>
      </c>
      <c r="BF391" s="1">
        <v>180</v>
      </c>
      <c r="BG391" s="1">
        <v>0.18</v>
      </c>
      <c r="BH391" s="1" t="s">
        <v>483</v>
      </c>
      <c r="BI391" s="1"/>
      <c r="BJ391" s="1">
        <v>11077.014285714287</v>
      </c>
      <c r="BK391" s="1"/>
    </row>
    <row r="392" spans="1:63" ht="16" thickBot="1" x14ac:dyDescent="0.25">
      <c r="A392" s="3">
        <v>392</v>
      </c>
      <c r="B392" s="3" t="s">
        <v>477</v>
      </c>
      <c r="C392" s="3" t="s">
        <v>543</v>
      </c>
      <c r="D392" s="1" t="s">
        <v>478</v>
      </c>
      <c r="E392" s="1"/>
      <c r="F392" s="1"/>
      <c r="G392" s="1" t="s">
        <v>102</v>
      </c>
      <c r="H392" s="1" t="s">
        <v>114</v>
      </c>
      <c r="I392" s="1"/>
      <c r="J392" s="113">
        <f>Table4[[#This Row],[total_cost_npr]]*(1/'Calculations &amp; Assumptions'!$C$6)</f>
        <v>422673.33333333331</v>
      </c>
      <c r="K392" s="113">
        <f>Table4[[#This Row],[system_cost_npr_per_kwp]]*(1/'Calculations &amp; Assumptions'!$C$6)</f>
        <v>2387.9849340866285</v>
      </c>
      <c r="L392" s="23">
        <f>IF(Table4[[#This Row],[total_cost_inr]]&gt;0, Table4[[#This Row],[total_cost_inr]]*'Calculations &amp; Assumptions'!$C$7,IF(Table4[[#This Row],[total_cost_eur]]&gt;0,Table4[[#This Row],[total_cost_eur]]*'Calculations &amp; Assumptions'!$C$5,0))</f>
        <v>54905266</v>
      </c>
      <c r="M392" s="77">
        <f>IF(H392="smartmeter_1ph",Table4[[#This Row],[total_cost_npr]],Table4[[#This Row],[total_cost_npr]]/Table4[[#This Row],[pv_kWp]])</f>
        <v>310199.24293785309</v>
      </c>
      <c r="N392" s="1"/>
      <c r="O392" s="1">
        <f>Table4[[#This Row],[total_cost_inr]]/Table4[[#This Row],[pv_kWp]]</f>
        <v>0</v>
      </c>
      <c r="P392" s="1">
        <v>422348.2</v>
      </c>
      <c r="Q392" s="1"/>
      <c r="R392" s="1"/>
      <c r="S392" s="1"/>
      <c r="T392" s="1">
        <v>177</v>
      </c>
      <c r="U392" s="1"/>
      <c r="V392" s="1"/>
      <c r="W392" s="1"/>
      <c r="X392" s="1"/>
      <c r="Y392" s="1"/>
      <c r="Z392" s="1"/>
      <c r="AA392" s="1"/>
      <c r="AB392" s="1"/>
      <c r="AC392" s="1"/>
      <c r="AD392" s="1">
        <v>206</v>
      </c>
      <c r="AE392" s="1"/>
      <c r="AF392" s="1"/>
      <c r="AG392" s="1"/>
      <c r="AH392" s="6"/>
      <c r="AI392" s="1"/>
      <c r="AJ392" s="1"/>
      <c r="AK392" s="1"/>
      <c r="AL392" s="1"/>
      <c r="AM392" s="1"/>
      <c r="AN392" s="1"/>
      <c r="AO392" s="1"/>
      <c r="AP392" s="1"/>
      <c r="AQ392" s="1"/>
      <c r="AR392" s="1"/>
      <c r="AS392" s="1" t="s">
        <v>479</v>
      </c>
      <c r="AT392" s="1" t="s">
        <v>485</v>
      </c>
      <c r="AU392" s="1">
        <v>0.8</v>
      </c>
      <c r="AV392" s="1">
        <v>561</v>
      </c>
      <c r="AW392" s="1">
        <v>155000</v>
      </c>
      <c r="AX392" s="1">
        <v>39270</v>
      </c>
      <c r="AY392" s="1">
        <v>155078.20000000001</v>
      </c>
      <c r="AZ392" s="1">
        <v>0.34</v>
      </c>
      <c r="BA392" s="1">
        <v>14</v>
      </c>
      <c r="BB392" s="1">
        <v>383000</v>
      </c>
      <c r="BC392" s="1">
        <v>422348.2</v>
      </c>
      <c r="BD392" s="1">
        <v>9368</v>
      </c>
      <c r="BE392" s="1">
        <v>177</v>
      </c>
      <c r="BF392" s="1">
        <v>206</v>
      </c>
      <c r="BG392" s="1">
        <v>0.18</v>
      </c>
      <c r="BH392" s="1" t="s">
        <v>483</v>
      </c>
      <c r="BI392" s="1"/>
      <c r="BJ392" s="1">
        <v>11077.014285714287</v>
      </c>
      <c r="BK392" s="1"/>
    </row>
    <row r="393" spans="1:63" ht="16" thickBot="1" x14ac:dyDescent="0.25">
      <c r="A393" s="3">
        <v>393</v>
      </c>
      <c r="B393" s="3" t="s">
        <v>477</v>
      </c>
      <c r="C393" s="3" t="s">
        <v>543</v>
      </c>
      <c r="D393" s="1" t="s">
        <v>478</v>
      </c>
      <c r="E393" s="1"/>
      <c r="F393" s="1"/>
      <c r="G393" s="1" t="s">
        <v>102</v>
      </c>
      <c r="H393" s="1" t="s">
        <v>114</v>
      </c>
      <c r="I393" s="1"/>
      <c r="J393" s="113">
        <f>Table4[[#This Row],[total_cost_npr]]*(1/'Calculations &amp; Assumptions'!$C$6)</f>
        <v>447692.57890685135</v>
      </c>
      <c r="K393" s="113">
        <f>Table4[[#This Row],[system_cost_npr_per_kwp]]*(1/'Calculations &amp; Assumptions'!$C$6)</f>
        <v>2121.765776809722</v>
      </c>
      <c r="L393" s="23">
        <f>IF(Table4[[#This Row],[total_cost_inr]]&gt;0, Table4[[#This Row],[total_cost_inr]]*'Calculations &amp; Assumptions'!$C$7,IF(Table4[[#This Row],[total_cost_eur]]&gt;0,Table4[[#This Row],[total_cost_eur]]*'Calculations &amp; Assumptions'!$C$5,0))</f>
        <v>58155266</v>
      </c>
      <c r="M393" s="77">
        <f>IF(H393="smartmeter_1ph",Table4[[#This Row],[total_cost_npr]],Table4[[#This Row],[total_cost_npr]]/Table4[[#This Row],[pv_kWp]])</f>
        <v>275617.37440758292</v>
      </c>
      <c r="N393" s="1"/>
      <c r="O393" s="1">
        <f>Table4[[#This Row],[total_cost_inr]]/Table4[[#This Row],[pv_kWp]]</f>
        <v>0</v>
      </c>
      <c r="P393" s="1">
        <v>447348.2</v>
      </c>
      <c r="Q393" s="1"/>
      <c r="R393" s="1"/>
      <c r="S393" s="1"/>
      <c r="T393" s="1">
        <v>211</v>
      </c>
      <c r="U393" s="1"/>
      <c r="V393" s="1"/>
      <c r="W393" s="1"/>
      <c r="X393" s="1"/>
      <c r="Y393" s="1"/>
      <c r="Z393" s="1"/>
      <c r="AA393" s="1"/>
      <c r="AB393" s="1"/>
      <c r="AC393" s="1"/>
      <c r="AD393" s="1">
        <v>231</v>
      </c>
      <c r="AE393" s="1"/>
      <c r="AF393" s="1"/>
      <c r="AG393" s="1"/>
      <c r="AH393" s="6"/>
      <c r="AI393" s="1"/>
      <c r="AJ393" s="1"/>
      <c r="AK393" s="1"/>
      <c r="AL393" s="1"/>
      <c r="AM393" s="1"/>
      <c r="AN393" s="1"/>
      <c r="AO393" s="1"/>
      <c r="AP393" s="1"/>
      <c r="AQ393" s="1"/>
      <c r="AR393" s="1"/>
      <c r="AS393" s="1" t="s">
        <v>479</v>
      </c>
      <c r="AT393" s="1" t="s">
        <v>485</v>
      </c>
      <c r="AU393" s="1">
        <v>0.85</v>
      </c>
      <c r="AV393" s="1">
        <v>561</v>
      </c>
      <c r="AW393" s="1">
        <v>155000</v>
      </c>
      <c r="AX393" s="1">
        <v>39270</v>
      </c>
      <c r="AY393" s="1">
        <v>155078.20000000001</v>
      </c>
      <c r="AZ393" s="1">
        <v>0.34</v>
      </c>
      <c r="BA393" s="1">
        <v>14</v>
      </c>
      <c r="BB393" s="1">
        <v>408000</v>
      </c>
      <c r="BC393" s="1">
        <v>447348.2</v>
      </c>
      <c r="BD393" s="1">
        <v>7038</v>
      </c>
      <c r="BE393" s="1">
        <v>211</v>
      </c>
      <c r="BF393" s="1">
        <v>231</v>
      </c>
      <c r="BG393" s="1">
        <v>0.18</v>
      </c>
      <c r="BH393" s="1" t="s">
        <v>483</v>
      </c>
      <c r="BI393" s="1"/>
      <c r="BJ393" s="1">
        <v>11077.014285714287</v>
      </c>
      <c r="BK393" s="1"/>
    </row>
    <row r="394" spans="1:63" ht="16" thickBot="1" x14ac:dyDescent="0.25">
      <c r="A394" s="3">
        <v>394</v>
      </c>
      <c r="B394" s="3" t="s">
        <v>477</v>
      </c>
      <c r="C394" s="3" t="s">
        <v>543</v>
      </c>
      <c r="D394" s="1" t="s">
        <v>478</v>
      </c>
      <c r="E394" s="1"/>
      <c r="F394" s="1"/>
      <c r="G394" s="1" t="s">
        <v>102</v>
      </c>
      <c r="H394" s="1" t="s">
        <v>114</v>
      </c>
      <c r="I394" s="1"/>
      <c r="J394" s="113">
        <f>Table4[[#This Row],[total_cost_npr]]*(1/'Calculations &amp; Assumptions'!$C$6)</f>
        <v>462704.12625096226</v>
      </c>
      <c r="K394" s="113">
        <f>Table4[[#This Row],[system_cost_npr_per_kwp]]*(1/'Calculations &amp; Assumptions'!$C$6)</f>
        <v>1904.1322067940835</v>
      </c>
      <c r="L394" s="23">
        <f>IF(Table4[[#This Row],[total_cost_inr]]&gt;0, Table4[[#This Row],[total_cost_inr]]*'Calculations &amp; Assumptions'!$C$7,IF(Table4[[#This Row],[total_cost_eur]]&gt;0,Table4[[#This Row],[total_cost_eur]]*'Calculations &amp; Assumptions'!$C$5,0))</f>
        <v>60105266</v>
      </c>
      <c r="M394" s="77">
        <f>IF(H394="smartmeter_1ph",Table4[[#This Row],[total_cost_npr]],Table4[[#This Row],[total_cost_npr]]/Table4[[#This Row],[pv_kWp]])</f>
        <v>247346.77366255145</v>
      </c>
      <c r="N394" s="1"/>
      <c r="O394" s="1">
        <f>Table4[[#This Row],[total_cost_inr]]/Table4[[#This Row],[pv_kWp]]</f>
        <v>0</v>
      </c>
      <c r="P394" s="1">
        <v>462348.2</v>
      </c>
      <c r="Q394" s="1"/>
      <c r="R394" s="1"/>
      <c r="S394" s="1"/>
      <c r="T394" s="1">
        <v>243</v>
      </c>
      <c r="U394" s="1"/>
      <c r="V394" s="1"/>
      <c r="W394" s="1"/>
      <c r="X394" s="1"/>
      <c r="Y394" s="1"/>
      <c r="Z394" s="1"/>
      <c r="AA394" s="1"/>
      <c r="AB394" s="1"/>
      <c r="AC394" s="1"/>
      <c r="AD394" s="1">
        <v>268</v>
      </c>
      <c r="AE394" s="1"/>
      <c r="AF394" s="1"/>
      <c r="AG394" s="1"/>
      <c r="AH394" s="6"/>
      <c r="AI394" s="1"/>
      <c r="AJ394" s="1"/>
      <c r="AK394" s="1"/>
      <c r="AL394" s="1"/>
      <c r="AM394" s="1"/>
      <c r="AN394" s="1"/>
      <c r="AO394" s="1"/>
      <c r="AP394" s="1"/>
      <c r="AQ394" s="1"/>
      <c r="AR394" s="1"/>
      <c r="AS394" s="1" t="s">
        <v>479</v>
      </c>
      <c r="AT394" s="1" t="s">
        <v>485</v>
      </c>
      <c r="AU394" s="1">
        <v>0.9</v>
      </c>
      <c r="AV394" s="1">
        <v>561</v>
      </c>
      <c r="AW394" s="1">
        <v>155000</v>
      </c>
      <c r="AX394" s="1">
        <v>39270</v>
      </c>
      <c r="AY394" s="1">
        <v>155078.20000000001</v>
      </c>
      <c r="AZ394" s="1">
        <v>0.34</v>
      </c>
      <c r="BA394" s="1">
        <v>14</v>
      </c>
      <c r="BB394" s="1">
        <v>423000</v>
      </c>
      <c r="BC394" s="1">
        <v>462348.2</v>
      </c>
      <c r="BD394" s="1">
        <v>4733</v>
      </c>
      <c r="BE394" s="1">
        <v>243</v>
      </c>
      <c r="BF394" s="1">
        <v>268</v>
      </c>
      <c r="BG394" s="1">
        <v>0.18</v>
      </c>
      <c r="BH394" s="1" t="s">
        <v>483</v>
      </c>
      <c r="BI394" s="1"/>
      <c r="BJ394" s="1">
        <v>11077.014285714287</v>
      </c>
      <c r="BK394" s="1"/>
    </row>
    <row r="395" spans="1:63" ht="16" thickBot="1" x14ac:dyDescent="0.25">
      <c r="A395" s="3">
        <v>395</v>
      </c>
      <c r="B395" s="3" t="s">
        <v>477</v>
      </c>
      <c r="C395" s="3" t="s">
        <v>543</v>
      </c>
      <c r="D395" s="1" t="s">
        <v>478</v>
      </c>
      <c r="E395" s="1"/>
      <c r="F395" s="1"/>
      <c r="G395" s="1" t="s">
        <v>102</v>
      </c>
      <c r="H395" s="1" t="s">
        <v>114</v>
      </c>
      <c r="I395" s="1"/>
      <c r="J395" s="113">
        <f>Table4[[#This Row],[total_cost_npr]]*(1/'Calculations &amp; Assumptions'!$C$6)</f>
        <v>503517.32101616624</v>
      </c>
      <c r="K395" s="113">
        <f>Table4[[#This Row],[system_cost_npr_per_kwp]]*(1/'Calculations &amp; Assumptions'!$C$6)</f>
        <v>22887.150955280285</v>
      </c>
      <c r="L395" s="23">
        <f>IF(Table4[[#This Row],[total_cost_inr]]&gt;0, Table4[[#This Row],[total_cost_inr]]*'Calculations &amp; Assumptions'!$C$7,IF(Table4[[#This Row],[total_cost_eur]]&gt;0,Table4[[#This Row],[total_cost_eur]]*'Calculations &amp; Assumptions'!$C$5,0))</f>
        <v>65406900</v>
      </c>
      <c r="M395" s="77">
        <f>IF(H395="smartmeter_1ph",Table4[[#This Row],[total_cost_npr]],Table4[[#This Row],[total_cost_npr]]/Table4[[#This Row],[pv_kWp]])</f>
        <v>2973040.9090909092</v>
      </c>
      <c r="N395" s="1"/>
      <c r="O395" s="1">
        <f>Table4[[#This Row],[total_cost_inr]]/Table4[[#This Row],[pv_kWp]]</f>
        <v>0</v>
      </c>
      <c r="P395" s="1">
        <v>503130</v>
      </c>
      <c r="Q395" s="1"/>
      <c r="R395" s="1"/>
      <c r="S395" s="1"/>
      <c r="T395" s="1">
        <v>22</v>
      </c>
      <c r="U395" s="1"/>
      <c r="V395" s="1"/>
      <c r="W395" s="1"/>
      <c r="X395" s="1"/>
      <c r="Y395" s="1"/>
      <c r="Z395" s="1"/>
      <c r="AA395" s="1"/>
      <c r="AB395" s="1"/>
      <c r="AC395" s="1"/>
      <c r="AD395" s="1">
        <v>5</v>
      </c>
      <c r="AE395" s="1"/>
      <c r="AF395" s="1"/>
      <c r="AG395" s="1"/>
      <c r="AH395" s="6"/>
      <c r="AI395" s="1"/>
      <c r="AJ395" s="1"/>
      <c r="AK395" s="1"/>
      <c r="AL395" s="1"/>
      <c r="AM395" s="1"/>
      <c r="AN395" s="1"/>
      <c r="AO395" s="1"/>
      <c r="AP395" s="1"/>
      <c r="AQ395" s="1"/>
      <c r="AR395" s="1"/>
      <c r="AS395" s="1" t="s">
        <v>479</v>
      </c>
      <c r="AT395" s="1" t="s">
        <v>486</v>
      </c>
      <c r="AU395" s="1">
        <v>0.1</v>
      </c>
      <c r="AV395" s="1">
        <v>1205</v>
      </c>
      <c r="AW395" s="1">
        <v>350000</v>
      </c>
      <c r="AX395" s="1">
        <v>84350</v>
      </c>
      <c r="AY395" s="1">
        <v>318780</v>
      </c>
      <c r="AZ395" s="1">
        <v>0.2</v>
      </c>
      <c r="BA395" s="1">
        <v>20</v>
      </c>
      <c r="BB395" s="1">
        <v>450000</v>
      </c>
      <c r="BC395" s="1">
        <v>503130</v>
      </c>
      <c r="BD395" s="1">
        <v>74164</v>
      </c>
      <c r="BE395" s="1">
        <v>22</v>
      </c>
      <c r="BF395" s="1">
        <v>5</v>
      </c>
      <c r="BG395" s="1">
        <v>0.24</v>
      </c>
      <c r="BH395" s="1" t="s">
        <v>483</v>
      </c>
      <c r="BI395" s="1"/>
      <c r="BJ395" s="1">
        <v>15939</v>
      </c>
      <c r="BK395" s="1"/>
    </row>
    <row r="396" spans="1:63" ht="16" thickBot="1" x14ac:dyDescent="0.25">
      <c r="A396" s="3">
        <v>396</v>
      </c>
      <c r="B396" s="3" t="s">
        <v>477</v>
      </c>
      <c r="C396" s="3" t="s">
        <v>543</v>
      </c>
      <c r="D396" s="1" t="s">
        <v>478</v>
      </c>
      <c r="E396" s="1"/>
      <c r="F396" s="1"/>
      <c r="G396" s="1" t="s">
        <v>102</v>
      </c>
      <c r="H396" s="1" t="s">
        <v>114</v>
      </c>
      <c r="I396" s="1"/>
      <c r="J396" s="113">
        <f>Table4[[#This Row],[total_cost_npr]]*(1/'Calculations &amp; Assumptions'!$C$6)</f>
        <v>507520.40030792914</v>
      </c>
      <c r="K396" s="113">
        <f>Table4[[#This Row],[system_cost_npr_per_kwp]]*(1/'Calculations &amp; Assumptions'!$C$6)</f>
        <v>16917.346676930971</v>
      </c>
      <c r="L396" s="23">
        <f>IF(Table4[[#This Row],[total_cost_inr]]&gt;0, Table4[[#This Row],[total_cost_inr]]*'Calculations &amp; Assumptions'!$C$7,IF(Table4[[#This Row],[total_cost_eur]]&gt;0,Table4[[#This Row],[total_cost_eur]]*'Calculations &amp; Assumptions'!$C$5,0))</f>
        <v>65926900</v>
      </c>
      <c r="M396" s="77">
        <f>IF(H396="smartmeter_1ph",Table4[[#This Row],[total_cost_npr]],Table4[[#This Row],[total_cost_npr]]/Table4[[#This Row],[pv_kWp]])</f>
        <v>2197563.3333333335</v>
      </c>
      <c r="N396" s="1"/>
      <c r="O396" s="1">
        <f>Table4[[#This Row],[total_cost_inr]]/Table4[[#This Row],[pv_kWp]]</f>
        <v>0</v>
      </c>
      <c r="P396" s="1">
        <v>507130</v>
      </c>
      <c r="Q396" s="1"/>
      <c r="R396" s="1"/>
      <c r="S396" s="1"/>
      <c r="T396" s="1">
        <v>30</v>
      </c>
      <c r="U396" s="1"/>
      <c r="V396" s="1"/>
      <c r="W396" s="1"/>
      <c r="X396" s="1"/>
      <c r="Y396" s="1"/>
      <c r="Z396" s="1"/>
      <c r="AA396" s="1"/>
      <c r="AB396" s="1"/>
      <c r="AC396" s="1"/>
      <c r="AD396" s="1">
        <v>5</v>
      </c>
      <c r="AE396" s="1"/>
      <c r="AF396" s="1"/>
      <c r="AG396" s="1"/>
      <c r="AH396" s="6"/>
      <c r="AI396" s="1"/>
      <c r="AJ396" s="1"/>
      <c r="AK396" s="1"/>
      <c r="AL396" s="1"/>
      <c r="AM396" s="1"/>
      <c r="AN396" s="1"/>
      <c r="AO396" s="1"/>
      <c r="AP396" s="1"/>
      <c r="AQ396" s="1"/>
      <c r="AR396" s="1"/>
      <c r="AS396" s="1" t="s">
        <v>479</v>
      </c>
      <c r="AT396" s="1" t="s">
        <v>486</v>
      </c>
      <c r="AU396" s="1">
        <v>0.15</v>
      </c>
      <c r="AV396" s="1">
        <v>1205</v>
      </c>
      <c r="AW396" s="1">
        <v>350000</v>
      </c>
      <c r="AX396" s="1">
        <v>84350</v>
      </c>
      <c r="AY396" s="1">
        <v>318780</v>
      </c>
      <c r="AZ396" s="1">
        <v>0.2</v>
      </c>
      <c r="BA396" s="1">
        <v>20</v>
      </c>
      <c r="BB396" s="1">
        <v>454000</v>
      </c>
      <c r="BC396" s="1">
        <v>507130</v>
      </c>
      <c r="BD396" s="1">
        <v>71528</v>
      </c>
      <c r="BE396" s="1">
        <v>30</v>
      </c>
      <c r="BF396" s="1">
        <v>5</v>
      </c>
      <c r="BG396" s="1">
        <v>0.24</v>
      </c>
      <c r="BH396" s="1" t="s">
        <v>483</v>
      </c>
      <c r="BI396" s="1"/>
      <c r="BJ396" s="1">
        <v>15939</v>
      </c>
      <c r="BK396" s="1"/>
    </row>
    <row r="397" spans="1:63" ht="16" thickBot="1" x14ac:dyDescent="0.25">
      <c r="A397" s="3">
        <v>397</v>
      </c>
      <c r="B397" s="3" t="s">
        <v>477</v>
      </c>
      <c r="C397" s="3" t="s">
        <v>543</v>
      </c>
      <c r="D397" s="1" t="s">
        <v>478</v>
      </c>
      <c r="E397" s="1"/>
      <c r="F397" s="1"/>
      <c r="G397" s="1" t="s">
        <v>102</v>
      </c>
      <c r="H397" s="1" t="s">
        <v>114</v>
      </c>
      <c r="I397" s="1"/>
      <c r="J397" s="113">
        <f>Table4[[#This Row],[total_cost_npr]]*(1/'Calculations &amp; Assumptions'!$C$6)</f>
        <v>513525.01924557349</v>
      </c>
      <c r="K397" s="113">
        <f>Table4[[#This Row],[system_cost_npr_per_kwp]]*(1/'Calculations &amp; Assumptions'!$C$6)</f>
        <v>11411.667094346078</v>
      </c>
      <c r="L397" s="23">
        <f>IF(Table4[[#This Row],[total_cost_inr]]&gt;0, Table4[[#This Row],[total_cost_inr]]*'Calculations &amp; Assumptions'!$C$7,IF(Table4[[#This Row],[total_cost_eur]]&gt;0,Table4[[#This Row],[total_cost_eur]]*'Calculations &amp; Assumptions'!$C$5,0))</f>
        <v>66706900</v>
      </c>
      <c r="M397" s="77">
        <f>IF(H397="smartmeter_1ph",Table4[[#This Row],[total_cost_npr]],Table4[[#This Row],[total_cost_npr]]/Table4[[#This Row],[pv_kWp]])</f>
        <v>1482375.5555555555</v>
      </c>
      <c r="N397" s="1"/>
      <c r="O397" s="1">
        <f>Table4[[#This Row],[total_cost_inr]]/Table4[[#This Row],[pv_kWp]]</f>
        <v>0</v>
      </c>
      <c r="P397" s="1">
        <v>513130</v>
      </c>
      <c r="Q397" s="1"/>
      <c r="R397" s="1"/>
      <c r="S397" s="1"/>
      <c r="T397" s="1">
        <v>45</v>
      </c>
      <c r="U397" s="1"/>
      <c r="V397" s="1"/>
      <c r="W397" s="1"/>
      <c r="X397" s="1"/>
      <c r="Y397" s="1"/>
      <c r="Z397" s="1"/>
      <c r="AA397" s="1"/>
      <c r="AB397" s="1"/>
      <c r="AC397" s="1"/>
      <c r="AD397" s="1">
        <v>5</v>
      </c>
      <c r="AE397" s="1"/>
      <c r="AF397" s="1"/>
      <c r="AG397" s="1"/>
      <c r="AH397" s="6"/>
      <c r="AI397" s="1"/>
      <c r="AJ397" s="1"/>
      <c r="AK397" s="1"/>
      <c r="AL397" s="1"/>
      <c r="AM397" s="1"/>
      <c r="AN397" s="1"/>
      <c r="AO397" s="1"/>
      <c r="AP397" s="1"/>
      <c r="AQ397" s="1"/>
      <c r="AR397" s="1"/>
      <c r="AS397" s="1" t="s">
        <v>479</v>
      </c>
      <c r="AT397" s="1" t="s">
        <v>486</v>
      </c>
      <c r="AU397" s="1">
        <v>0.2</v>
      </c>
      <c r="AV397" s="1">
        <v>1205</v>
      </c>
      <c r="AW397" s="1">
        <v>350000</v>
      </c>
      <c r="AX397" s="1">
        <v>84350</v>
      </c>
      <c r="AY397" s="1">
        <v>318780</v>
      </c>
      <c r="AZ397" s="1">
        <v>0.2</v>
      </c>
      <c r="BA397" s="1">
        <v>20</v>
      </c>
      <c r="BB397" s="1">
        <v>460000</v>
      </c>
      <c r="BC397" s="1">
        <v>513130</v>
      </c>
      <c r="BD397" s="1">
        <v>67511</v>
      </c>
      <c r="BE397" s="1">
        <v>45</v>
      </c>
      <c r="BF397" s="1">
        <v>5</v>
      </c>
      <c r="BG397" s="1">
        <v>0.24</v>
      </c>
      <c r="BH397" s="1" t="s">
        <v>483</v>
      </c>
      <c r="BI397" s="1"/>
      <c r="BJ397" s="1">
        <v>15939</v>
      </c>
      <c r="BK397" s="1"/>
    </row>
    <row r="398" spans="1:63" ht="16" thickBot="1" x14ac:dyDescent="0.25">
      <c r="A398" s="3">
        <v>398</v>
      </c>
      <c r="B398" s="3" t="s">
        <v>477</v>
      </c>
      <c r="C398" s="3" t="s">
        <v>543</v>
      </c>
      <c r="D398" s="1" t="s">
        <v>478</v>
      </c>
      <c r="E398" s="1"/>
      <c r="F398" s="1"/>
      <c r="G398" s="1" t="s">
        <v>102</v>
      </c>
      <c r="H398" s="1" t="s">
        <v>114</v>
      </c>
      <c r="I398" s="1"/>
      <c r="J398" s="113">
        <f>Table4[[#This Row],[total_cost_npr]]*(1/'Calculations &amp; Assumptions'!$C$6)</f>
        <v>527535.79676674365</v>
      </c>
      <c r="K398" s="113">
        <f>Table4[[#This Row],[system_cost_npr_per_kwp]]*(1/'Calculations &amp; Assumptions'!$C$6)</f>
        <v>8115.9353348729783</v>
      </c>
      <c r="L398" s="23">
        <f>IF(Table4[[#This Row],[total_cost_inr]]&gt;0, Table4[[#This Row],[total_cost_inr]]*'Calculations &amp; Assumptions'!$C$7,IF(Table4[[#This Row],[total_cost_eur]]&gt;0,Table4[[#This Row],[total_cost_eur]]*'Calculations &amp; Assumptions'!$C$5,0))</f>
        <v>68526900</v>
      </c>
      <c r="M398" s="77">
        <f>IF(H398="smartmeter_1ph",Table4[[#This Row],[total_cost_npr]],Table4[[#This Row],[total_cost_npr]]/Table4[[#This Row],[pv_kWp]])</f>
        <v>1054260</v>
      </c>
      <c r="N398" s="1"/>
      <c r="O398" s="1">
        <f>Table4[[#This Row],[total_cost_inr]]/Table4[[#This Row],[pv_kWp]]</f>
        <v>0</v>
      </c>
      <c r="P398" s="1">
        <v>527130</v>
      </c>
      <c r="Q398" s="1"/>
      <c r="R398" s="1"/>
      <c r="S398" s="1"/>
      <c r="T398" s="1">
        <v>65</v>
      </c>
      <c r="U398" s="1"/>
      <c r="V398" s="1"/>
      <c r="W398" s="1"/>
      <c r="X398" s="1"/>
      <c r="Y398" s="1"/>
      <c r="Z398" s="1"/>
      <c r="AA398" s="1"/>
      <c r="AB398" s="1"/>
      <c r="AC398" s="1"/>
      <c r="AD398" s="1">
        <v>10</v>
      </c>
      <c r="AE398" s="1"/>
      <c r="AF398" s="1"/>
      <c r="AG398" s="1"/>
      <c r="AH398" s="6"/>
      <c r="AI398" s="1"/>
      <c r="AJ398" s="1"/>
      <c r="AK398" s="1"/>
      <c r="AL398" s="1"/>
      <c r="AM398" s="1"/>
      <c r="AN398" s="1"/>
      <c r="AO398" s="1"/>
      <c r="AP398" s="1"/>
      <c r="AQ398" s="1"/>
      <c r="AR398" s="1"/>
      <c r="AS398" s="1" t="s">
        <v>479</v>
      </c>
      <c r="AT398" s="1" t="s">
        <v>486</v>
      </c>
      <c r="AU398" s="1">
        <v>0.25</v>
      </c>
      <c r="AV398" s="1">
        <v>1205</v>
      </c>
      <c r="AW398" s="1">
        <v>350000</v>
      </c>
      <c r="AX398" s="1">
        <v>84350</v>
      </c>
      <c r="AY398" s="1">
        <v>318780</v>
      </c>
      <c r="AZ398" s="1">
        <v>0.2</v>
      </c>
      <c r="BA398" s="1">
        <v>20</v>
      </c>
      <c r="BB398" s="1">
        <v>474000</v>
      </c>
      <c r="BC398" s="1">
        <v>527130</v>
      </c>
      <c r="BD398" s="1">
        <v>63299</v>
      </c>
      <c r="BE398" s="1">
        <v>65</v>
      </c>
      <c r="BF398" s="1">
        <v>10</v>
      </c>
      <c r="BG398" s="1">
        <v>0.24</v>
      </c>
      <c r="BH398" s="1" t="s">
        <v>483</v>
      </c>
      <c r="BI398" s="1"/>
      <c r="BJ398" s="1">
        <v>15939</v>
      </c>
      <c r="BK398" s="1"/>
    </row>
    <row r="399" spans="1:63" ht="16" thickBot="1" x14ac:dyDescent="0.25">
      <c r="A399" s="3">
        <v>399</v>
      </c>
      <c r="B399" s="3" t="s">
        <v>477</v>
      </c>
      <c r="C399" s="3" t="s">
        <v>543</v>
      </c>
      <c r="D399" s="1" t="s">
        <v>478</v>
      </c>
      <c r="E399" s="1"/>
      <c r="F399" s="1"/>
      <c r="G399" s="1" t="s">
        <v>102</v>
      </c>
      <c r="H399" s="1" t="s">
        <v>114</v>
      </c>
      <c r="I399" s="1"/>
      <c r="J399" s="113">
        <f>Table4[[#This Row],[total_cost_npr]]*(1/'Calculations &amp; Assumptions'!$C$6)</f>
        <v>605595.84295612003</v>
      </c>
      <c r="K399" s="113">
        <f>Table4[[#This Row],[system_cost_npr_per_kwp]]*(1/'Calculations &amp; Assumptions'!$C$6)</f>
        <v>4037.305619707467</v>
      </c>
      <c r="L399" s="23">
        <f>IF(Table4[[#This Row],[total_cost_inr]]&gt;0, Table4[[#This Row],[total_cost_inr]]*'Calculations &amp; Assumptions'!$C$7,IF(Table4[[#This Row],[total_cost_eur]]&gt;0,Table4[[#This Row],[total_cost_eur]]*'Calculations &amp; Assumptions'!$C$5,0))</f>
        <v>78666900</v>
      </c>
      <c r="M399" s="77">
        <f>IF(H399="smartmeter_1ph",Table4[[#This Row],[total_cost_npr]],Table4[[#This Row],[total_cost_npr]]/Table4[[#This Row],[pv_kWp]])</f>
        <v>524446</v>
      </c>
      <c r="N399" s="1"/>
      <c r="O399" s="1">
        <f>Table4[[#This Row],[total_cost_inr]]/Table4[[#This Row],[pv_kWp]]</f>
        <v>0</v>
      </c>
      <c r="P399" s="1">
        <v>605130</v>
      </c>
      <c r="Q399" s="1"/>
      <c r="R399" s="1"/>
      <c r="S399" s="1"/>
      <c r="T399" s="1">
        <v>150</v>
      </c>
      <c r="U399" s="1"/>
      <c r="V399" s="1"/>
      <c r="W399" s="1"/>
      <c r="X399" s="1"/>
      <c r="Y399" s="1"/>
      <c r="Z399" s="1"/>
      <c r="AA399" s="1"/>
      <c r="AB399" s="1"/>
      <c r="AC399" s="1"/>
      <c r="AD399" s="1">
        <v>90</v>
      </c>
      <c r="AE399" s="1"/>
      <c r="AF399" s="1"/>
      <c r="AG399" s="1"/>
      <c r="AH399" s="6"/>
      <c r="AI399" s="1"/>
      <c r="AJ399" s="1"/>
      <c r="AK399" s="1"/>
      <c r="AL399" s="1"/>
      <c r="AM399" s="1"/>
      <c r="AN399" s="1"/>
      <c r="AO399" s="1"/>
      <c r="AP399" s="1"/>
      <c r="AQ399" s="1"/>
      <c r="AR399" s="1"/>
      <c r="AS399" s="1" t="s">
        <v>479</v>
      </c>
      <c r="AT399" s="1" t="s">
        <v>486</v>
      </c>
      <c r="AU399" s="1">
        <v>0.45</v>
      </c>
      <c r="AV399" s="1">
        <v>1205</v>
      </c>
      <c r="AW399" s="1">
        <v>350000</v>
      </c>
      <c r="AX399" s="1">
        <v>84350</v>
      </c>
      <c r="AY399" s="1">
        <v>318780</v>
      </c>
      <c r="AZ399" s="1">
        <v>0.2</v>
      </c>
      <c r="BA399" s="1">
        <v>20</v>
      </c>
      <c r="BB399" s="1">
        <v>552000</v>
      </c>
      <c r="BC399" s="1">
        <v>605130</v>
      </c>
      <c r="BD399" s="1">
        <v>47257</v>
      </c>
      <c r="BE399" s="1">
        <v>150</v>
      </c>
      <c r="BF399" s="1">
        <v>90</v>
      </c>
      <c r="BG399" s="1">
        <v>0.24</v>
      </c>
      <c r="BH399" s="1" t="s">
        <v>483</v>
      </c>
      <c r="BI399" s="1"/>
      <c r="BJ399" s="1">
        <v>15939</v>
      </c>
      <c r="BK399" s="1"/>
    </row>
    <row r="400" spans="1:63" ht="16" thickBot="1" x14ac:dyDescent="0.25">
      <c r="A400" s="3">
        <v>400</v>
      </c>
      <c r="B400" s="3" t="s">
        <v>477</v>
      </c>
      <c r="C400" s="3" t="s">
        <v>543</v>
      </c>
      <c r="D400" s="1" t="s">
        <v>478</v>
      </c>
      <c r="E400" s="1"/>
      <c r="F400" s="1"/>
      <c r="G400" s="1" t="s">
        <v>102</v>
      </c>
      <c r="H400" s="1" t="s">
        <v>114</v>
      </c>
      <c r="I400" s="1"/>
      <c r="J400" s="113">
        <f>Table4[[#This Row],[total_cost_npr]]*(1/'Calculations &amp; Assumptions'!$C$6)</f>
        <v>586581.21632024634</v>
      </c>
      <c r="K400" s="113">
        <f>Table4[[#This Row],[system_cost_npr_per_kwp]]*(1/'Calculations &amp; Assumptions'!$C$6)</f>
        <v>4512.1632024634328</v>
      </c>
      <c r="L400" s="23">
        <f>IF(Table4[[#This Row],[total_cost_inr]]&gt;0, Table4[[#This Row],[total_cost_inr]]*'Calculations &amp; Assumptions'!$C$7,IF(Table4[[#This Row],[total_cost_eur]]&gt;0,Table4[[#This Row],[total_cost_eur]]*'Calculations &amp; Assumptions'!$C$5,0))</f>
        <v>76196900</v>
      </c>
      <c r="M400" s="77">
        <f>IF(H400="smartmeter_1ph",Table4[[#This Row],[total_cost_npr]],Table4[[#This Row],[total_cost_npr]]/Table4[[#This Row],[pv_kWp]])</f>
        <v>586130</v>
      </c>
      <c r="N400" s="1"/>
      <c r="O400" s="1">
        <f>Table4[[#This Row],[total_cost_inr]]/Table4[[#This Row],[pv_kWp]]</f>
        <v>0</v>
      </c>
      <c r="P400" s="1">
        <v>586130</v>
      </c>
      <c r="Q400" s="1"/>
      <c r="R400" s="1"/>
      <c r="S400" s="1"/>
      <c r="T400" s="1">
        <v>130</v>
      </c>
      <c r="U400" s="1"/>
      <c r="V400" s="1"/>
      <c r="W400" s="1"/>
      <c r="X400" s="1"/>
      <c r="Y400" s="1"/>
      <c r="Z400" s="1"/>
      <c r="AA400" s="1"/>
      <c r="AB400" s="1"/>
      <c r="AC400" s="1"/>
      <c r="AD400" s="1">
        <v>70</v>
      </c>
      <c r="AE400" s="1"/>
      <c r="AF400" s="1"/>
      <c r="AG400" s="1"/>
      <c r="AH400" s="6"/>
      <c r="AI400" s="1"/>
      <c r="AJ400" s="1"/>
      <c r="AK400" s="1"/>
      <c r="AL400" s="1"/>
      <c r="AM400" s="1"/>
      <c r="AN400" s="1"/>
      <c r="AO400" s="1"/>
      <c r="AP400" s="1"/>
      <c r="AQ400" s="1"/>
      <c r="AR400" s="1"/>
      <c r="AS400" s="1" t="s">
        <v>479</v>
      </c>
      <c r="AT400" s="1" t="s">
        <v>486</v>
      </c>
      <c r="AU400" s="1">
        <v>0.4</v>
      </c>
      <c r="AV400" s="1">
        <v>1205</v>
      </c>
      <c r="AW400" s="1">
        <v>350000</v>
      </c>
      <c r="AX400" s="1">
        <v>84350</v>
      </c>
      <c r="AY400" s="1">
        <v>318780</v>
      </c>
      <c r="AZ400" s="1">
        <v>0.2</v>
      </c>
      <c r="BA400" s="1">
        <v>20</v>
      </c>
      <c r="BB400" s="1">
        <v>533000</v>
      </c>
      <c r="BC400" s="1">
        <v>586130</v>
      </c>
      <c r="BD400" s="1">
        <v>51205</v>
      </c>
      <c r="BE400" s="1">
        <v>130</v>
      </c>
      <c r="BF400" s="1">
        <v>70</v>
      </c>
      <c r="BG400" s="1">
        <v>0.24</v>
      </c>
      <c r="BH400" s="1" t="s">
        <v>483</v>
      </c>
      <c r="BI400" s="1"/>
      <c r="BJ400" s="1">
        <v>15939</v>
      </c>
      <c r="BK400" s="1"/>
    </row>
    <row r="401" spans="1:63" ht="16" thickBot="1" x14ac:dyDescent="0.25">
      <c r="A401" s="3">
        <v>401</v>
      </c>
      <c r="B401" s="3" t="s">
        <v>477</v>
      </c>
      <c r="C401" s="3" t="s">
        <v>543</v>
      </c>
      <c r="D401" s="1" t="s">
        <v>478</v>
      </c>
      <c r="E401" s="1"/>
      <c r="F401" s="1"/>
      <c r="G401" s="1" t="s">
        <v>102</v>
      </c>
      <c r="H401" s="1" t="s">
        <v>114</v>
      </c>
      <c r="I401" s="1"/>
      <c r="J401" s="113">
        <f>Table4[[#This Row],[total_cost_npr]]*(1/'Calculations &amp; Assumptions'!$C$6)</f>
        <v>624610.46959199384</v>
      </c>
      <c r="K401" s="113">
        <f>Table4[[#This Row],[system_cost_npr_per_kwp]]*(1/'Calculations &amp; Assumptions'!$C$6)</f>
        <v>3394.6221173477925</v>
      </c>
      <c r="L401" s="23">
        <f>IF(Table4[[#This Row],[total_cost_inr]]&gt;0, Table4[[#This Row],[total_cost_inr]]*'Calculations &amp; Assumptions'!$C$7,IF(Table4[[#This Row],[total_cost_eur]]&gt;0,Table4[[#This Row],[total_cost_eur]]*'Calculations &amp; Assumptions'!$C$5,0))</f>
        <v>81136900</v>
      </c>
      <c r="M401" s="77">
        <f>IF(H401="smartmeter_1ph",Table4[[#This Row],[total_cost_npr]],Table4[[#This Row],[total_cost_npr]]/Table4[[#This Row],[pv_kWp]])</f>
        <v>440961.41304347827</v>
      </c>
      <c r="N401" s="1"/>
      <c r="O401" s="1">
        <f>Table4[[#This Row],[total_cost_inr]]/Table4[[#This Row],[pv_kWp]]</f>
        <v>0</v>
      </c>
      <c r="P401" s="1">
        <v>624130</v>
      </c>
      <c r="Q401" s="1"/>
      <c r="R401" s="1"/>
      <c r="S401" s="1"/>
      <c r="T401" s="1">
        <v>184</v>
      </c>
      <c r="U401" s="1"/>
      <c r="V401" s="1"/>
      <c r="W401" s="1"/>
      <c r="X401" s="1"/>
      <c r="Y401" s="1"/>
      <c r="Z401" s="1"/>
      <c r="AA401" s="1"/>
      <c r="AB401" s="1"/>
      <c r="AC401" s="1"/>
      <c r="AD401" s="1">
        <v>98</v>
      </c>
      <c r="AE401" s="1"/>
      <c r="AF401" s="1"/>
      <c r="AG401" s="1"/>
      <c r="AH401" s="6"/>
      <c r="AI401" s="1"/>
      <c r="AJ401" s="1"/>
      <c r="AK401" s="1"/>
      <c r="AL401" s="1"/>
      <c r="AM401" s="1"/>
      <c r="AN401" s="1"/>
      <c r="AO401" s="1"/>
      <c r="AP401" s="1"/>
      <c r="AQ401" s="1"/>
      <c r="AR401" s="1"/>
      <c r="AS401" s="1" t="s">
        <v>479</v>
      </c>
      <c r="AT401" s="1" t="s">
        <v>486</v>
      </c>
      <c r="AU401" s="1">
        <v>0.5</v>
      </c>
      <c r="AV401" s="1">
        <v>1205</v>
      </c>
      <c r="AW401" s="1">
        <v>350000</v>
      </c>
      <c r="AX401" s="1">
        <v>84350</v>
      </c>
      <c r="AY401" s="1">
        <v>318780</v>
      </c>
      <c r="AZ401" s="1">
        <v>0.2</v>
      </c>
      <c r="BA401" s="1">
        <v>20</v>
      </c>
      <c r="BB401" s="1">
        <v>571000</v>
      </c>
      <c r="BC401" s="1">
        <v>624130</v>
      </c>
      <c r="BD401" s="1">
        <v>44000</v>
      </c>
      <c r="BE401" s="1">
        <v>184</v>
      </c>
      <c r="BF401" s="1">
        <v>98</v>
      </c>
      <c r="BG401" s="1">
        <v>0.24</v>
      </c>
      <c r="BH401" s="1" t="s">
        <v>483</v>
      </c>
      <c r="BI401" s="1"/>
      <c r="BJ401" s="1">
        <v>15939</v>
      </c>
      <c r="BK401" s="1"/>
    </row>
    <row r="402" spans="1:63" ht="16" thickBot="1" x14ac:dyDescent="0.25">
      <c r="A402" s="3">
        <v>402</v>
      </c>
      <c r="B402" s="3" t="s">
        <v>477</v>
      </c>
      <c r="C402" s="3" t="s">
        <v>543</v>
      </c>
      <c r="D402" s="1" t="s">
        <v>478</v>
      </c>
      <c r="E402" s="1"/>
      <c r="F402" s="1"/>
      <c r="G402" s="1" t="s">
        <v>102</v>
      </c>
      <c r="H402" s="1" t="s">
        <v>114</v>
      </c>
      <c r="I402" s="1"/>
      <c r="J402" s="113">
        <f>Table4[[#This Row],[total_cost_npr]]*(1/'Calculations &amp; Assumptions'!$C$6)</f>
        <v>567566.58968437253</v>
      </c>
      <c r="K402" s="113">
        <f>Table4[[#This Row],[system_cost_npr_per_kwp]]*(1/'Calculations &amp; Assumptions'!$C$6)</f>
        <v>5159.6962698579318</v>
      </c>
      <c r="L402" s="23">
        <f>IF(Table4[[#This Row],[total_cost_inr]]&gt;0, Table4[[#This Row],[total_cost_inr]]*'Calculations &amp; Assumptions'!$C$7,IF(Table4[[#This Row],[total_cost_eur]]&gt;0,Table4[[#This Row],[total_cost_eur]]*'Calculations &amp; Assumptions'!$C$5,0))</f>
        <v>73726900</v>
      </c>
      <c r="M402" s="77">
        <f>IF(H402="smartmeter_1ph",Table4[[#This Row],[total_cost_npr]],Table4[[#This Row],[total_cost_npr]]/Table4[[#This Row],[pv_kWp]])</f>
        <v>670244.54545454541</v>
      </c>
      <c r="N402" s="1"/>
      <c r="O402" s="1">
        <f>Table4[[#This Row],[total_cost_inr]]/Table4[[#This Row],[pv_kWp]]</f>
        <v>0</v>
      </c>
      <c r="P402" s="1">
        <v>567130</v>
      </c>
      <c r="Q402" s="1"/>
      <c r="R402" s="1"/>
      <c r="S402" s="1"/>
      <c r="T402" s="1">
        <v>110</v>
      </c>
      <c r="U402" s="1"/>
      <c r="V402" s="1"/>
      <c r="W402" s="1"/>
      <c r="X402" s="1"/>
      <c r="Y402" s="1"/>
      <c r="Z402" s="1"/>
      <c r="AA402" s="1"/>
      <c r="AB402" s="1"/>
      <c r="AC402" s="1"/>
      <c r="AD402" s="1">
        <v>50</v>
      </c>
      <c r="AE402" s="1"/>
      <c r="AF402" s="1"/>
      <c r="AG402" s="1"/>
      <c r="AH402" s="6"/>
      <c r="AI402" s="1"/>
      <c r="AJ402" s="1"/>
      <c r="AK402" s="1"/>
      <c r="AL402" s="1"/>
      <c r="AM402" s="1"/>
      <c r="AN402" s="1"/>
      <c r="AO402" s="1"/>
      <c r="AP402" s="1"/>
      <c r="AQ402" s="1"/>
      <c r="AR402" s="1"/>
      <c r="AS402" s="1" t="s">
        <v>479</v>
      </c>
      <c r="AT402" s="1" t="s">
        <v>486</v>
      </c>
      <c r="AU402" s="1">
        <v>0.35</v>
      </c>
      <c r="AV402" s="1">
        <v>1205</v>
      </c>
      <c r="AW402" s="1">
        <v>350000</v>
      </c>
      <c r="AX402" s="1">
        <v>84350</v>
      </c>
      <c r="AY402" s="1">
        <v>318780</v>
      </c>
      <c r="AZ402" s="1">
        <v>0.2</v>
      </c>
      <c r="BA402" s="1">
        <v>20</v>
      </c>
      <c r="BB402" s="1">
        <v>514000</v>
      </c>
      <c r="BC402" s="1">
        <v>567130</v>
      </c>
      <c r="BD402" s="1">
        <v>55052</v>
      </c>
      <c r="BE402" s="1">
        <v>110</v>
      </c>
      <c r="BF402" s="1">
        <v>50</v>
      </c>
      <c r="BG402" s="1">
        <v>0.24</v>
      </c>
      <c r="BH402" s="1" t="s">
        <v>483</v>
      </c>
      <c r="BI402" s="1"/>
      <c r="BJ402" s="1">
        <v>15939</v>
      </c>
      <c r="BK402" s="1"/>
    </row>
    <row r="403" spans="1:63" ht="16" thickBot="1" x14ac:dyDescent="0.25">
      <c r="A403" s="3">
        <v>403</v>
      </c>
      <c r="B403" s="3" t="s">
        <v>477</v>
      </c>
      <c r="C403" s="3" t="s">
        <v>543</v>
      </c>
      <c r="D403" s="1" t="s">
        <v>478</v>
      </c>
      <c r="E403" s="1"/>
      <c r="F403" s="1"/>
      <c r="G403" s="1" t="s">
        <v>102</v>
      </c>
      <c r="H403" s="1" t="s">
        <v>114</v>
      </c>
      <c r="I403" s="1"/>
      <c r="J403" s="113">
        <f>Table4[[#This Row],[total_cost_npr]]*(1/'Calculations &amp; Assumptions'!$C$6)</f>
        <v>548551.96304849884</v>
      </c>
      <c r="K403" s="113">
        <f>Table4[[#This Row],[system_cost_npr_per_kwp]]*(1/'Calculations &amp; Assumptions'!$C$6)</f>
        <v>6095.0218116499873</v>
      </c>
      <c r="L403" s="23">
        <f>IF(Table4[[#This Row],[total_cost_inr]]&gt;0, Table4[[#This Row],[total_cost_inr]]*'Calculations &amp; Assumptions'!$C$7,IF(Table4[[#This Row],[total_cost_eur]]&gt;0,Table4[[#This Row],[total_cost_eur]]*'Calculations &amp; Assumptions'!$C$5,0))</f>
        <v>71256900</v>
      </c>
      <c r="M403" s="77">
        <f>IF(H403="smartmeter_1ph",Table4[[#This Row],[total_cost_npr]],Table4[[#This Row],[total_cost_npr]]/Table4[[#This Row],[pv_kWp]])</f>
        <v>791743.33333333337</v>
      </c>
      <c r="N403" s="1"/>
      <c r="O403" s="1">
        <f>Table4[[#This Row],[total_cost_inr]]/Table4[[#This Row],[pv_kWp]]</f>
        <v>0</v>
      </c>
      <c r="P403" s="1">
        <v>548130</v>
      </c>
      <c r="Q403" s="1"/>
      <c r="R403" s="1"/>
      <c r="S403" s="1"/>
      <c r="T403" s="1">
        <v>90</v>
      </c>
      <c r="U403" s="1"/>
      <c r="V403" s="1"/>
      <c r="W403" s="1"/>
      <c r="X403" s="1"/>
      <c r="Y403" s="1"/>
      <c r="Z403" s="1"/>
      <c r="AA403" s="1"/>
      <c r="AB403" s="1"/>
      <c r="AC403" s="1"/>
      <c r="AD403" s="1">
        <v>30</v>
      </c>
      <c r="AE403" s="1"/>
      <c r="AF403" s="1"/>
      <c r="AG403" s="1"/>
      <c r="AH403" s="6"/>
      <c r="AI403" s="1"/>
      <c r="AJ403" s="1"/>
      <c r="AK403" s="1"/>
      <c r="AL403" s="1"/>
      <c r="AM403" s="1"/>
      <c r="AN403" s="1"/>
      <c r="AO403" s="1"/>
      <c r="AP403" s="1"/>
      <c r="AQ403" s="1"/>
      <c r="AR403" s="1"/>
      <c r="AS403" s="1" t="s">
        <v>479</v>
      </c>
      <c r="AT403" s="1" t="s">
        <v>486</v>
      </c>
      <c r="AU403" s="1">
        <v>0.3</v>
      </c>
      <c r="AV403" s="1">
        <v>1205</v>
      </c>
      <c r="AW403" s="1">
        <v>350000</v>
      </c>
      <c r="AX403" s="1">
        <v>84350</v>
      </c>
      <c r="AY403" s="1">
        <v>318780</v>
      </c>
      <c r="AZ403" s="1">
        <v>0.2</v>
      </c>
      <c r="BA403" s="1">
        <v>20</v>
      </c>
      <c r="BB403" s="1">
        <v>495000</v>
      </c>
      <c r="BC403" s="1">
        <v>548130</v>
      </c>
      <c r="BD403" s="1">
        <v>58744</v>
      </c>
      <c r="BE403" s="1">
        <v>90</v>
      </c>
      <c r="BF403" s="1">
        <v>30</v>
      </c>
      <c r="BG403" s="1">
        <v>0.24</v>
      </c>
      <c r="BH403" s="1" t="s">
        <v>483</v>
      </c>
      <c r="BI403" s="1"/>
      <c r="BJ403" s="1">
        <v>15939</v>
      </c>
      <c r="BK403" s="1"/>
    </row>
    <row r="404" spans="1:63" ht="16" thickBot="1" x14ac:dyDescent="0.25">
      <c r="A404" s="3">
        <v>404</v>
      </c>
      <c r="B404" s="3" t="s">
        <v>477</v>
      </c>
      <c r="C404" s="3" t="s">
        <v>543</v>
      </c>
      <c r="D404" s="1" t="s">
        <v>478</v>
      </c>
      <c r="E404" s="1"/>
      <c r="F404" s="1"/>
      <c r="G404" s="1" t="s">
        <v>102</v>
      </c>
      <c r="H404" s="1" t="s">
        <v>114</v>
      </c>
      <c r="I404" s="1"/>
      <c r="J404" s="113">
        <f>Table4[[#This Row],[total_cost_npr]]*(1/'Calculations &amp; Assumptions'!$C$6)</f>
        <v>663640.49268668203</v>
      </c>
      <c r="K404" s="113">
        <f>Table4[[#This Row],[system_cost_npr_per_kwp]]*(1/'Calculations &amp; Assumptions'!$C$6)</f>
        <v>2962.6807709226878</v>
      </c>
      <c r="L404" s="23">
        <f>IF(Table4[[#This Row],[total_cost_inr]]&gt;0, Table4[[#This Row],[total_cost_inr]]*'Calculations &amp; Assumptions'!$C$7,IF(Table4[[#This Row],[total_cost_eur]]&gt;0,Table4[[#This Row],[total_cost_eur]]*'Calculations &amp; Assumptions'!$C$5,0))</f>
        <v>86206900</v>
      </c>
      <c r="M404" s="77">
        <f>IF(H404="smartmeter_1ph",Table4[[#This Row],[total_cost_npr]],Table4[[#This Row],[total_cost_npr]]/Table4[[#This Row],[pv_kWp]])</f>
        <v>384852.23214285716</v>
      </c>
      <c r="N404" s="1"/>
      <c r="O404" s="1">
        <f>Table4[[#This Row],[total_cost_inr]]/Table4[[#This Row],[pv_kWp]]</f>
        <v>0</v>
      </c>
      <c r="P404" s="1">
        <v>663130</v>
      </c>
      <c r="Q404" s="1"/>
      <c r="R404" s="1"/>
      <c r="S404" s="1"/>
      <c r="T404" s="1">
        <v>224</v>
      </c>
      <c r="U404" s="1"/>
      <c r="V404" s="1"/>
      <c r="W404" s="1"/>
      <c r="X404" s="1"/>
      <c r="Y404" s="1"/>
      <c r="Z404" s="1"/>
      <c r="AA404" s="1"/>
      <c r="AB404" s="1"/>
      <c r="AC404" s="1"/>
      <c r="AD404" s="1">
        <v>142</v>
      </c>
      <c r="AE404" s="1"/>
      <c r="AF404" s="1"/>
      <c r="AG404" s="1"/>
      <c r="AH404" s="6"/>
      <c r="AI404" s="1"/>
      <c r="AJ404" s="1"/>
      <c r="AK404" s="1"/>
      <c r="AL404" s="1"/>
      <c r="AM404" s="1"/>
      <c r="AN404" s="1"/>
      <c r="AO404" s="1"/>
      <c r="AP404" s="1"/>
      <c r="AQ404" s="1"/>
      <c r="AR404" s="1"/>
      <c r="AS404" s="1" t="s">
        <v>479</v>
      </c>
      <c r="AT404" s="1" t="s">
        <v>486</v>
      </c>
      <c r="AU404" s="1">
        <v>0.55000000000000004</v>
      </c>
      <c r="AV404" s="1">
        <v>1205</v>
      </c>
      <c r="AW404" s="1">
        <v>350000</v>
      </c>
      <c r="AX404" s="1">
        <v>84350</v>
      </c>
      <c r="AY404" s="1">
        <v>318780</v>
      </c>
      <c r="AZ404" s="1">
        <v>0.2</v>
      </c>
      <c r="BA404" s="1">
        <v>20</v>
      </c>
      <c r="BB404" s="1">
        <v>610000</v>
      </c>
      <c r="BC404" s="1">
        <v>663130</v>
      </c>
      <c r="BD404" s="1">
        <v>38467</v>
      </c>
      <c r="BE404" s="1">
        <v>224</v>
      </c>
      <c r="BF404" s="1">
        <v>142</v>
      </c>
      <c r="BG404" s="1">
        <v>0.24</v>
      </c>
      <c r="BH404" s="1" t="s">
        <v>483</v>
      </c>
      <c r="BI404" s="1"/>
      <c r="BJ404" s="1">
        <v>15939</v>
      </c>
      <c r="BK404" s="1"/>
    </row>
    <row r="405" spans="1:63" ht="16" thickBot="1" x14ac:dyDescent="0.25">
      <c r="A405" s="3">
        <v>405</v>
      </c>
      <c r="B405" s="3" t="s">
        <v>477</v>
      </c>
      <c r="C405" s="3" t="s">
        <v>543</v>
      </c>
      <c r="D405" s="1" t="s">
        <v>478</v>
      </c>
      <c r="E405" s="1"/>
      <c r="F405" s="1"/>
      <c r="G405" s="1" t="s">
        <v>102</v>
      </c>
      <c r="H405" s="1" t="s">
        <v>114</v>
      </c>
      <c r="I405" s="1"/>
      <c r="J405" s="113">
        <f>Table4[[#This Row],[total_cost_npr]]*(1/'Calculations &amp; Assumptions'!$C$6)</f>
        <v>698667.43648960732</v>
      </c>
      <c r="K405" s="113">
        <f>Table4[[#This Row],[system_cost_npr_per_kwp]]*(1/'Calculations &amp; Assumptions'!$C$6)</f>
        <v>2708.0133197271603</v>
      </c>
      <c r="L405" s="23">
        <f>IF(Table4[[#This Row],[total_cost_inr]]&gt;0, Table4[[#This Row],[total_cost_inr]]*'Calculations &amp; Assumptions'!$C$7,IF(Table4[[#This Row],[total_cost_eur]]&gt;0,Table4[[#This Row],[total_cost_eur]]*'Calculations &amp; Assumptions'!$C$5,0))</f>
        <v>90756900</v>
      </c>
      <c r="M405" s="77">
        <f>IF(H405="smartmeter_1ph",Table4[[#This Row],[total_cost_npr]],Table4[[#This Row],[total_cost_npr]]/Table4[[#This Row],[pv_kWp]])</f>
        <v>351770.93023255817</v>
      </c>
      <c r="N405" s="1"/>
      <c r="O405" s="1">
        <f>Table4[[#This Row],[total_cost_inr]]/Table4[[#This Row],[pv_kWp]]</f>
        <v>0</v>
      </c>
      <c r="P405" s="1">
        <v>698130</v>
      </c>
      <c r="Q405" s="1"/>
      <c r="R405" s="1"/>
      <c r="S405" s="1"/>
      <c r="T405" s="1">
        <v>258</v>
      </c>
      <c r="U405" s="1"/>
      <c r="V405" s="1"/>
      <c r="W405" s="1"/>
      <c r="X405" s="1"/>
      <c r="Y405" s="1"/>
      <c r="Z405" s="1"/>
      <c r="AA405" s="1"/>
      <c r="AB405" s="1"/>
      <c r="AC405" s="1"/>
      <c r="AD405" s="1">
        <v>183</v>
      </c>
      <c r="AE405" s="1"/>
      <c r="AF405" s="1"/>
      <c r="AG405" s="1"/>
      <c r="AH405" s="6"/>
      <c r="AI405" s="1"/>
      <c r="AJ405" s="1"/>
      <c r="AK405" s="1"/>
      <c r="AL405" s="1"/>
      <c r="AM405" s="1"/>
      <c r="AN405" s="1"/>
      <c r="AO405" s="1"/>
      <c r="AP405" s="1"/>
      <c r="AQ405" s="1"/>
      <c r="AR405" s="1"/>
      <c r="AS405" s="1" t="s">
        <v>479</v>
      </c>
      <c r="AT405" s="1" t="s">
        <v>486</v>
      </c>
      <c r="AU405" s="1">
        <v>0.6</v>
      </c>
      <c r="AV405" s="1">
        <v>1205</v>
      </c>
      <c r="AW405" s="1">
        <v>350000</v>
      </c>
      <c r="AX405" s="1">
        <v>84350</v>
      </c>
      <c r="AY405" s="1">
        <v>318780</v>
      </c>
      <c r="AZ405" s="1">
        <v>0.2</v>
      </c>
      <c r="BA405" s="1">
        <v>20</v>
      </c>
      <c r="BB405" s="1">
        <v>645000</v>
      </c>
      <c r="BC405" s="1">
        <v>698130</v>
      </c>
      <c r="BD405" s="1">
        <v>34307</v>
      </c>
      <c r="BE405" s="1">
        <v>258</v>
      </c>
      <c r="BF405" s="1">
        <v>183</v>
      </c>
      <c r="BG405" s="1">
        <v>0.24</v>
      </c>
      <c r="BH405" s="1" t="s">
        <v>483</v>
      </c>
      <c r="BI405" s="1"/>
      <c r="BJ405" s="1">
        <v>15939</v>
      </c>
      <c r="BK405" s="1"/>
    </row>
    <row r="406" spans="1:63" ht="16" thickBot="1" x14ac:dyDescent="0.25">
      <c r="A406" s="3">
        <v>406</v>
      </c>
      <c r="B406" s="3" t="s">
        <v>477</v>
      </c>
      <c r="C406" s="3" t="s">
        <v>543</v>
      </c>
      <c r="D406" s="1" t="s">
        <v>478</v>
      </c>
      <c r="E406" s="1"/>
      <c r="F406" s="1"/>
      <c r="G406" s="1" t="s">
        <v>102</v>
      </c>
      <c r="H406" s="1" t="s">
        <v>114</v>
      </c>
      <c r="I406" s="1"/>
      <c r="J406" s="113">
        <f>Table4[[#This Row],[total_cost_npr]]*(1/'Calculations &amp; Assumptions'!$C$6)</f>
        <v>730692.07082371053</v>
      </c>
      <c r="K406" s="113">
        <f>Table4[[#This Row],[system_cost_npr_per_kwp]]*(1/'Calculations &amp; Assumptions'!$C$6)</f>
        <v>2767.7729955443579</v>
      </c>
      <c r="L406" s="23">
        <f>IF(Table4[[#This Row],[total_cost_inr]]&gt;0, Table4[[#This Row],[total_cost_inr]]*'Calculations &amp; Assumptions'!$C$7,IF(Table4[[#This Row],[total_cost_eur]]&gt;0,Table4[[#This Row],[total_cost_eur]]*'Calculations &amp; Assumptions'!$C$5,0))</f>
        <v>94916900</v>
      </c>
      <c r="M406" s="77">
        <f>IF(H406="smartmeter_1ph",Table4[[#This Row],[total_cost_npr]],Table4[[#This Row],[total_cost_npr]]/Table4[[#This Row],[pv_kWp]])</f>
        <v>359533.7121212121</v>
      </c>
      <c r="N406" s="1"/>
      <c r="O406" s="1">
        <f>Table4[[#This Row],[total_cost_inr]]/Table4[[#This Row],[pv_kWp]]</f>
        <v>0</v>
      </c>
      <c r="P406" s="1">
        <v>730130</v>
      </c>
      <c r="Q406" s="1"/>
      <c r="R406" s="1"/>
      <c r="S406" s="1"/>
      <c r="T406" s="1">
        <v>264</v>
      </c>
      <c r="U406" s="1"/>
      <c r="V406" s="1"/>
      <c r="W406" s="1"/>
      <c r="X406" s="1"/>
      <c r="Y406" s="1"/>
      <c r="Z406" s="1"/>
      <c r="AA406" s="1"/>
      <c r="AB406" s="1"/>
      <c r="AC406" s="1"/>
      <c r="AD406" s="1">
        <v>251</v>
      </c>
      <c r="AE406" s="1"/>
      <c r="AF406" s="1"/>
      <c r="AG406" s="1"/>
      <c r="AH406" s="6"/>
      <c r="AI406" s="1"/>
      <c r="AJ406" s="1"/>
      <c r="AK406" s="1"/>
      <c r="AL406" s="1"/>
      <c r="AM406" s="1"/>
      <c r="AN406" s="1"/>
      <c r="AO406" s="1"/>
      <c r="AP406" s="1"/>
      <c r="AQ406" s="1"/>
      <c r="AR406" s="1"/>
      <c r="AS406" s="1" t="s">
        <v>479</v>
      </c>
      <c r="AT406" s="1" t="s">
        <v>486</v>
      </c>
      <c r="AU406" s="1">
        <v>0.65</v>
      </c>
      <c r="AV406" s="1">
        <v>1205</v>
      </c>
      <c r="AW406" s="1">
        <v>350000</v>
      </c>
      <c r="AX406" s="1">
        <v>84350</v>
      </c>
      <c r="AY406" s="1">
        <v>318780</v>
      </c>
      <c r="AZ406" s="1">
        <v>0.2</v>
      </c>
      <c r="BA406" s="1">
        <v>20</v>
      </c>
      <c r="BB406" s="1">
        <v>677000</v>
      </c>
      <c r="BC406" s="1">
        <v>730130</v>
      </c>
      <c r="BD406" s="1">
        <v>30206</v>
      </c>
      <c r="BE406" s="1">
        <v>264</v>
      </c>
      <c r="BF406" s="1">
        <v>251</v>
      </c>
      <c r="BG406" s="1">
        <v>0.24</v>
      </c>
      <c r="BH406" s="1" t="s">
        <v>483</v>
      </c>
      <c r="BI406" s="1"/>
      <c r="BJ406" s="1">
        <v>15939</v>
      </c>
      <c r="BK406" s="1"/>
    </row>
    <row r="407" spans="1:63" ht="16" thickBot="1" x14ac:dyDescent="0.25">
      <c r="A407" s="3">
        <v>407</v>
      </c>
      <c r="B407" s="3" t="s">
        <v>477</v>
      </c>
      <c r="C407" s="3" t="s">
        <v>543</v>
      </c>
      <c r="D407" s="1" t="s">
        <v>478</v>
      </c>
      <c r="E407" s="1"/>
      <c r="F407" s="1"/>
      <c r="G407" s="1" t="s">
        <v>102</v>
      </c>
      <c r="H407" s="1" t="s">
        <v>114</v>
      </c>
      <c r="I407" s="1"/>
      <c r="J407" s="113">
        <f>Table4[[#This Row],[total_cost_npr]]*(1/'Calculations &amp; Assumptions'!$C$6)</f>
        <v>763717.47498075431</v>
      </c>
      <c r="K407" s="113">
        <f>Table4[[#This Row],[system_cost_npr_per_kwp]]*(1/'Calculations &amp; Assumptions'!$C$6)</f>
        <v>2554.2390467583755</v>
      </c>
      <c r="L407" s="23">
        <f>IF(Table4[[#This Row],[total_cost_inr]]&gt;0, Table4[[#This Row],[total_cost_inr]]*'Calculations &amp; Assumptions'!$C$7,IF(Table4[[#This Row],[total_cost_eur]]&gt;0,Table4[[#This Row],[total_cost_eur]]*'Calculations &amp; Assumptions'!$C$5,0))</f>
        <v>99206900</v>
      </c>
      <c r="M407" s="77">
        <f>IF(H407="smartmeter_1ph",Table4[[#This Row],[total_cost_npr]],Table4[[#This Row],[total_cost_npr]]/Table4[[#This Row],[pv_kWp]])</f>
        <v>331795.65217391303</v>
      </c>
      <c r="N407" s="1"/>
      <c r="O407" s="1">
        <f>Table4[[#This Row],[total_cost_inr]]/Table4[[#This Row],[pv_kWp]]</f>
        <v>0</v>
      </c>
      <c r="P407" s="1">
        <v>763130</v>
      </c>
      <c r="Q407" s="1"/>
      <c r="R407" s="1"/>
      <c r="S407" s="1"/>
      <c r="T407" s="1">
        <v>299</v>
      </c>
      <c r="U407" s="1"/>
      <c r="V407" s="1"/>
      <c r="W407" s="1"/>
      <c r="X407" s="1"/>
      <c r="Y407" s="1"/>
      <c r="Z407" s="1"/>
      <c r="AA407" s="1"/>
      <c r="AB407" s="1"/>
      <c r="AC407" s="1"/>
      <c r="AD407" s="1">
        <v>297</v>
      </c>
      <c r="AE407" s="1"/>
      <c r="AF407" s="1"/>
      <c r="AG407" s="1"/>
      <c r="AH407" s="6"/>
      <c r="AI407" s="1"/>
      <c r="AJ407" s="1"/>
      <c r="AK407" s="1"/>
      <c r="AL407" s="1"/>
      <c r="AM407" s="1"/>
      <c r="AN407" s="1"/>
      <c r="AO407" s="1"/>
      <c r="AP407" s="1"/>
      <c r="AQ407" s="1"/>
      <c r="AR407" s="1"/>
      <c r="AS407" s="1" t="s">
        <v>479</v>
      </c>
      <c r="AT407" s="1" t="s">
        <v>486</v>
      </c>
      <c r="AU407" s="1">
        <v>0.7</v>
      </c>
      <c r="AV407" s="1">
        <v>1205</v>
      </c>
      <c r="AW407" s="1">
        <v>350000</v>
      </c>
      <c r="AX407" s="1">
        <v>84350</v>
      </c>
      <c r="AY407" s="1">
        <v>318780</v>
      </c>
      <c r="AZ407" s="1">
        <v>0.2</v>
      </c>
      <c r="BA407" s="1">
        <v>20</v>
      </c>
      <c r="BB407" s="1">
        <v>710000</v>
      </c>
      <c r="BC407" s="1">
        <v>763130</v>
      </c>
      <c r="BD407" s="1">
        <v>26057</v>
      </c>
      <c r="BE407" s="1">
        <v>299</v>
      </c>
      <c r="BF407" s="1">
        <v>297</v>
      </c>
      <c r="BG407" s="1">
        <v>0.24</v>
      </c>
      <c r="BH407" s="1" t="s">
        <v>483</v>
      </c>
      <c r="BI407" s="1"/>
      <c r="BJ407" s="1">
        <v>15939</v>
      </c>
      <c r="BK407" s="1"/>
    </row>
    <row r="408" spans="1:63" ht="16" thickBot="1" x14ac:dyDescent="0.25">
      <c r="A408" s="3">
        <v>408</v>
      </c>
      <c r="B408" s="3" t="s">
        <v>477</v>
      </c>
      <c r="C408" s="3" t="s">
        <v>543</v>
      </c>
      <c r="D408" s="1" t="s">
        <v>478</v>
      </c>
      <c r="E408" s="1"/>
      <c r="F408" s="1"/>
      <c r="G408" s="1" t="s">
        <v>102</v>
      </c>
      <c r="H408" s="1" t="s">
        <v>114</v>
      </c>
      <c r="I408" s="1"/>
      <c r="J408" s="113">
        <f>Table4[[#This Row],[total_cost_npr]]*(1/'Calculations &amp; Assumptions'!$C$6)</f>
        <v>797743.64896073891</v>
      </c>
      <c r="K408" s="113">
        <f>Table4[[#This Row],[system_cost_npr_per_kwp]]*(1/'Calculations &amp; Assumptions'!$C$6)</f>
        <v>2469.7945788258176</v>
      </c>
      <c r="L408" s="23">
        <f>IF(Table4[[#This Row],[total_cost_inr]]&gt;0, Table4[[#This Row],[total_cost_inr]]*'Calculations &amp; Assumptions'!$C$7,IF(Table4[[#This Row],[total_cost_eur]]&gt;0,Table4[[#This Row],[total_cost_eur]]*'Calculations &amp; Assumptions'!$C$5,0))</f>
        <v>103626900</v>
      </c>
      <c r="M408" s="77">
        <f>IF(H408="smartmeter_1ph",Table4[[#This Row],[total_cost_npr]],Table4[[#This Row],[total_cost_npr]]/Table4[[#This Row],[pv_kWp]])</f>
        <v>320826.31578947371</v>
      </c>
      <c r="N408" s="1"/>
      <c r="O408" s="1">
        <f>Table4[[#This Row],[total_cost_inr]]/Table4[[#This Row],[pv_kWp]]</f>
        <v>0</v>
      </c>
      <c r="P408" s="1">
        <v>797130</v>
      </c>
      <c r="Q408" s="1"/>
      <c r="R408" s="1"/>
      <c r="S408" s="1"/>
      <c r="T408" s="1">
        <v>323</v>
      </c>
      <c r="U408" s="1"/>
      <c r="V408" s="1"/>
      <c r="W408" s="1"/>
      <c r="X408" s="1"/>
      <c r="Y408" s="1"/>
      <c r="Z408" s="1"/>
      <c r="AA408" s="1"/>
      <c r="AB408" s="1"/>
      <c r="AC408" s="1"/>
      <c r="AD408" s="1">
        <v>357</v>
      </c>
      <c r="AE408" s="1"/>
      <c r="AF408" s="1"/>
      <c r="AG408" s="1"/>
      <c r="AH408" s="6"/>
      <c r="AI408" s="1"/>
      <c r="AJ408" s="1"/>
      <c r="AK408" s="1"/>
      <c r="AL408" s="1"/>
      <c r="AM408" s="1"/>
      <c r="AN408" s="1"/>
      <c r="AO408" s="1"/>
      <c r="AP408" s="1"/>
      <c r="AQ408" s="1"/>
      <c r="AR408" s="1"/>
      <c r="AS408" s="1" t="s">
        <v>479</v>
      </c>
      <c r="AT408" s="1" t="s">
        <v>486</v>
      </c>
      <c r="AU408" s="1">
        <v>0.75</v>
      </c>
      <c r="AV408" s="1">
        <v>1205</v>
      </c>
      <c r="AW408" s="1">
        <v>350000</v>
      </c>
      <c r="AX408" s="1">
        <v>84350</v>
      </c>
      <c r="AY408" s="1">
        <v>318780</v>
      </c>
      <c r="AZ408" s="1">
        <v>0.2</v>
      </c>
      <c r="BA408" s="1">
        <v>20</v>
      </c>
      <c r="BB408" s="1">
        <v>744000</v>
      </c>
      <c r="BC408" s="1">
        <v>797130</v>
      </c>
      <c r="BD408" s="1">
        <v>21867</v>
      </c>
      <c r="BE408" s="1">
        <v>323</v>
      </c>
      <c r="BF408" s="1">
        <v>357</v>
      </c>
      <c r="BG408" s="1">
        <v>0.24</v>
      </c>
      <c r="BH408" s="1" t="s">
        <v>483</v>
      </c>
      <c r="BI408" s="1"/>
      <c r="BJ408" s="1">
        <v>15939</v>
      </c>
      <c r="BK408" s="1"/>
    </row>
    <row r="409" spans="1:63" ht="16" thickBot="1" x14ac:dyDescent="0.25">
      <c r="A409" s="3">
        <v>409</v>
      </c>
      <c r="B409" s="3" t="s">
        <v>477</v>
      </c>
      <c r="C409" s="3" t="s">
        <v>543</v>
      </c>
      <c r="D409" s="1" t="s">
        <v>478</v>
      </c>
      <c r="E409" s="1"/>
      <c r="F409" s="1"/>
      <c r="G409" s="1" t="s">
        <v>102</v>
      </c>
      <c r="H409" s="1" t="s">
        <v>114</v>
      </c>
      <c r="I409" s="1"/>
      <c r="J409" s="113">
        <f>Table4[[#This Row],[total_cost_npr]]*(1/'Calculations &amp; Assumptions'!$C$6)</f>
        <v>837774.44187836791</v>
      </c>
      <c r="K409" s="113">
        <f>Table4[[#This Row],[system_cost_npr_per_kwp]]*(1/'Calculations &amp; Assumptions'!$C$6)</f>
        <v>2428.331715589472</v>
      </c>
      <c r="L409" s="23">
        <f>IF(Table4[[#This Row],[total_cost_inr]]&gt;0, Table4[[#This Row],[total_cost_inr]]*'Calculations &amp; Assumptions'!$C$7,IF(Table4[[#This Row],[total_cost_eur]]&gt;0,Table4[[#This Row],[total_cost_eur]]*'Calculations &amp; Assumptions'!$C$5,0))</f>
        <v>108826900</v>
      </c>
      <c r="M409" s="77">
        <f>IF(H409="smartmeter_1ph",Table4[[#This Row],[total_cost_npr]],Table4[[#This Row],[total_cost_npr]]/Table4[[#This Row],[pv_kWp]])</f>
        <v>315440.28985507245</v>
      </c>
      <c r="N409" s="1"/>
      <c r="O409" s="1">
        <f>Table4[[#This Row],[total_cost_inr]]/Table4[[#This Row],[pv_kWp]]</f>
        <v>0</v>
      </c>
      <c r="P409" s="1">
        <v>837130</v>
      </c>
      <c r="Q409" s="1"/>
      <c r="R409" s="1"/>
      <c r="S409" s="1"/>
      <c r="T409" s="1">
        <v>345</v>
      </c>
      <c r="U409" s="1"/>
      <c r="V409" s="1"/>
      <c r="W409" s="1"/>
      <c r="X409" s="1"/>
      <c r="Y409" s="1"/>
      <c r="Z409" s="1"/>
      <c r="AA409" s="1"/>
      <c r="AB409" s="1"/>
      <c r="AC409" s="1"/>
      <c r="AD409" s="1">
        <v>414</v>
      </c>
      <c r="AE409" s="1"/>
      <c r="AF409" s="1"/>
      <c r="AG409" s="1"/>
      <c r="AH409" s="6"/>
      <c r="AI409" s="1"/>
      <c r="AJ409" s="1"/>
      <c r="AK409" s="1"/>
      <c r="AL409" s="1"/>
      <c r="AM409" s="1"/>
      <c r="AN409" s="1"/>
      <c r="AO409" s="1"/>
      <c r="AP409" s="1"/>
      <c r="AQ409" s="1"/>
      <c r="AR409" s="1"/>
      <c r="AS409" s="1" t="s">
        <v>479</v>
      </c>
      <c r="AT409" s="1" t="s">
        <v>486</v>
      </c>
      <c r="AU409" s="1">
        <v>0.8</v>
      </c>
      <c r="AV409" s="1">
        <v>1205</v>
      </c>
      <c r="AW409" s="1">
        <v>350000</v>
      </c>
      <c r="AX409" s="1">
        <v>84350</v>
      </c>
      <c r="AY409" s="1">
        <v>318780</v>
      </c>
      <c r="AZ409" s="1">
        <v>0.2</v>
      </c>
      <c r="BA409" s="1">
        <v>20</v>
      </c>
      <c r="BB409" s="1">
        <v>784000</v>
      </c>
      <c r="BC409" s="1">
        <v>837130</v>
      </c>
      <c r="BD409" s="1">
        <v>17409</v>
      </c>
      <c r="BE409" s="1">
        <v>345</v>
      </c>
      <c r="BF409" s="1">
        <v>414</v>
      </c>
      <c r="BG409" s="1">
        <v>0.24</v>
      </c>
      <c r="BH409" s="1" t="s">
        <v>483</v>
      </c>
      <c r="BI409" s="1"/>
      <c r="BJ409" s="1">
        <v>15939</v>
      </c>
      <c r="BK409" s="1"/>
    </row>
    <row r="410" spans="1:63" ht="16" thickBot="1" x14ac:dyDescent="0.25">
      <c r="A410" s="3">
        <v>410</v>
      </c>
      <c r="B410" s="3" t="s">
        <v>477</v>
      </c>
      <c r="C410" s="3" t="s">
        <v>543</v>
      </c>
      <c r="D410" s="1" t="s">
        <v>478</v>
      </c>
      <c r="E410" s="1"/>
      <c r="F410" s="1"/>
      <c r="G410" s="1" t="s">
        <v>102</v>
      </c>
      <c r="H410" s="1" t="s">
        <v>114</v>
      </c>
      <c r="I410" s="1"/>
      <c r="J410" s="113">
        <f>Table4[[#This Row],[total_cost_npr]]*(1/'Calculations &amp; Assumptions'!$C$6)</f>
        <v>884810.62355658191</v>
      </c>
      <c r="K410" s="113">
        <f>Table4[[#This Row],[system_cost_npr_per_kwp]]*(1/'Calculations &amp; Assumptions'!$C$6)</f>
        <v>2251.4265230447377</v>
      </c>
      <c r="L410" s="23">
        <f>IF(Table4[[#This Row],[total_cost_inr]]&gt;0, Table4[[#This Row],[total_cost_inr]]*'Calculations &amp; Assumptions'!$C$7,IF(Table4[[#This Row],[total_cost_eur]]&gt;0,Table4[[#This Row],[total_cost_eur]]*'Calculations &amp; Assumptions'!$C$5,0))</f>
        <v>114936900</v>
      </c>
      <c r="M410" s="77">
        <f>IF(H410="smartmeter_1ph",Table4[[#This Row],[total_cost_npr]],Table4[[#This Row],[total_cost_npr]]/Table4[[#This Row],[pv_kWp]])</f>
        <v>292460.30534351146</v>
      </c>
      <c r="N410" s="1"/>
      <c r="O410" s="1">
        <f>Table4[[#This Row],[total_cost_inr]]/Table4[[#This Row],[pv_kWp]]</f>
        <v>0</v>
      </c>
      <c r="P410" s="1">
        <v>884130</v>
      </c>
      <c r="Q410" s="1"/>
      <c r="R410" s="1"/>
      <c r="S410" s="1"/>
      <c r="T410" s="1">
        <v>393</v>
      </c>
      <c r="U410" s="1"/>
      <c r="V410" s="1"/>
      <c r="W410" s="1"/>
      <c r="X410" s="1"/>
      <c r="Y410" s="1"/>
      <c r="Z410" s="1"/>
      <c r="AA410" s="1"/>
      <c r="AB410" s="1"/>
      <c r="AC410" s="1"/>
      <c r="AD410" s="1">
        <v>472</v>
      </c>
      <c r="AE410" s="1"/>
      <c r="AF410" s="1"/>
      <c r="AG410" s="1"/>
      <c r="AH410" s="6"/>
      <c r="AI410" s="1"/>
      <c r="AJ410" s="1"/>
      <c r="AK410" s="1"/>
      <c r="AL410" s="1"/>
      <c r="AM410" s="1"/>
      <c r="AN410" s="1"/>
      <c r="AO410" s="1"/>
      <c r="AP410" s="1"/>
      <c r="AQ410" s="1"/>
      <c r="AR410" s="1"/>
      <c r="AS410" s="1" t="s">
        <v>479</v>
      </c>
      <c r="AT410" s="1" t="s">
        <v>486</v>
      </c>
      <c r="AU410" s="1">
        <v>0.85</v>
      </c>
      <c r="AV410" s="1">
        <v>1205</v>
      </c>
      <c r="AW410" s="1">
        <v>350000</v>
      </c>
      <c r="AX410" s="1">
        <v>84350</v>
      </c>
      <c r="AY410" s="1">
        <v>318780</v>
      </c>
      <c r="AZ410" s="1">
        <v>0.2</v>
      </c>
      <c r="BA410" s="1">
        <v>20</v>
      </c>
      <c r="BB410" s="1">
        <v>831000</v>
      </c>
      <c r="BC410" s="1">
        <v>884130</v>
      </c>
      <c r="BD410" s="1">
        <v>13033</v>
      </c>
      <c r="BE410" s="1">
        <v>393</v>
      </c>
      <c r="BF410" s="1">
        <v>472</v>
      </c>
      <c r="BG410" s="1">
        <v>0.24</v>
      </c>
      <c r="BH410" s="1" t="s">
        <v>483</v>
      </c>
      <c r="BI410" s="1"/>
      <c r="BJ410" s="1">
        <v>15939</v>
      </c>
      <c r="BK410" s="1"/>
    </row>
    <row r="411" spans="1:63" ht="16" thickBot="1" x14ac:dyDescent="0.25">
      <c r="A411" s="3">
        <v>411</v>
      </c>
      <c r="B411" s="3" t="s">
        <v>477</v>
      </c>
      <c r="C411" s="3" t="s">
        <v>543</v>
      </c>
      <c r="D411" s="1" t="s">
        <v>478</v>
      </c>
      <c r="E411" s="1"/>
      <c r="F411" s="1"/>
      <c r="G411" s="1" t="s">
        <v>102</v>
      </c>
      <c r="H411" s="1" t="s">
        <v>114</v>
      </c>
      <c r="I411" s="1"/>
      <c r="J411" s="113">
        <f>Table4[[#This Row],[total_cost_npr]]*(1/'Calculations &amp; Assumptions'!$C$6)</f>
        <v>943856.0431100846</v>
      </c>
      <c r="K411" s="113">
        <f>Table4[[#This Row],[system_cost_npr_per_kwp]]*(1/'Calculations &amp; Assumptions'!$C$6)</f>
        <v>2051.8609632827925</v>
      </c>
      <c r="L411" s="23">
        <f>IF(Table4[[#This Row],[total_cost_inr]]&gt;0, Table4[[#This Row],[total_cost_inr]]*'Calculations &amp; Assumptions'!$C$7,IF(Table4[[#This Row],[total_cost_eur]]&gt;0,Table4[[#This Row],[total_cost_eur]]*'Calculations &amp; Assumptions'!$C$5,0))</f>
        <v>122606900</v>
      </c>
      <c r="M411" s="77">
        <f>IF(H411="smartmeter_1ph",Table4[[#This Row],[total_cost_npr]],Table4[[#This Row],[total_cost_npr]]/Table4[[#This Row],[pv_kWp]])</f>
        <v>266536.73913043475</v>
      </c>
      <c r="N411" s="1"/>
      <c r="O411" s="1">
        <f>Table4[[#This Row],[total_cost_inr]]/Table4[[#This Row],[pv_kWp]]</f>
        <v>0</v>
      </c>
      <c r="P411" s="1">
        <v>943130</v>
      </c>
      <c r="Q411" s="1"/>
      <c r="R411" s="1"/>
      <c r="S411" s="1"/>
      <c r="T411" s="1">
        <v>460</v>
      </c>
      <c r="U411" s="1"/>
      <c r="V411" s="1"/>
      <c r="W411" s="1"/>
      <c r="X411" s="1"/>
      <c r="Y411" s="1"/>
      <c r="Z411" s="1"/>
      <c r="AA411" s="1"/>
      <c r="AB411" s="1"/>
      <c r="AC411" s="1"/>
      <c r="AD411" s="1">
        <v>538</v>
      </c>
      <c r="AE411" s="1"/>
      <c r="AF411" s="1"/>
      <c r="AG411" s="1"/>
      <c r="AH411" s="6"/>
      <c r="AI411" s="1"/>
      <c r="AJ411" s="1"/>
      <c r="AK411" s="1"/>
      <c r="AL411" s="1"/>
      <c r="AM411" s="1"/>
      <c r="AN411" s="1"/>
      <c r="AO411" s="1"/>
      <c r="AP411" s="1"/>
      <c r="AQ411" s="1"/>
      <c r="AR411" s="1"/>
      <c r="AS411" s="1" t="s">
        <v>479</v>
      </c>
      <c r="AT411" s="1" t="s">
        <v>486</v>
      </c>
      <c r="AU411" s="1">
        <v>0.9</v>
      </c>
      <c r="AV411" s="1">
        <v>1205</v>
      </c>
      <c r="AW411" s="1">
        <v>350000</v>
      </c>
      <c r="AX411" s="1">
        <v>84350</v>
      </c>
      <c r="AY411" s="1">
        <v>318780</v>
      </c>
      <c r="AZ411" s="1">
        <v>0.2</v>
      </c>
      <c r="BA411" s="1">
        <v>20</v>
      </c>
      <c r="BB411" s="1">
        <v>890000</v>
      </c>
      <c r="BC411" s="1">
        <v>943130</v>
      </c>
      <c r="BD411" s="1">
        <v>8781</v>
      </c>
      <c r="BE411" s="1">
        <v>460</v>
      </c>
      <c r="BF411" s="1">
        <v>538</v>
      </c>
      <c r="BG411" s="1">
        <v>0.24</v>
      </c>
      <c r="BH411" s="1" t="s">
        <v>483</v>
      </c>
      <c r="BI411" s="1"/>
      <c r="BJ411" s="1">
        <v>15939</v>
      </c>
      <c r="BK411" s="1"/>
    </row>
    <row r="412" spans="1:63" ht="16" thickBot="1" x14ac:dyDescent="0.25">
      <c r="A412" s="3">
        <v>412</v>
      </c>
      <c r="B412" s="3" t="s">
        <v>477</v>
      </c>
      <c r="C412" s="3" t="s">
        <v>543</v>
      </c>
      <c r="D412" s="1" t="s">
        <v>478</v>
      </c>
      <c r="E412" s="1"/>
      <c r="F412" s="1"/>
      <c r="G412" s="1" t="s">
        <v>102</v>
      </c>
      <c r="H412" s="1" t="s">
        <v>114</v>
      </c>
      <c r="I412" s="1"/>
      <c r="J412" s="113">
        <f>Table4[[#This Row],[total_cost_npr]]*(1/'Calculations &amp; Assumptions'!$C$6)</f>
        <v>1128332.9484218629</v>
      </c>
      <c r="K412" s="113">
        <f>Table4[[#This Row],[system_cost_npr_per_kwp]]*(1/'Calculations &amp; Assumptions'!$C$6)</f>
        <v>45133.317936874511</v>
      </c>
      <c r="L412" s="23">
        <f>IF(Table4[[#This Row],[total_cost_inr]]&gt;0, Table4[[#This Row],[total_cost_inr]]*'Calculations &amp; Assumptions'!$C$7,IF(Table4[[#This Row],[total_cost_eur]]&gt;0,Table4[[#This Row],[total_cost_eur]]*'Calculations &amp; Assumptions'!$C$5,0))</f>
        <v>146570450</v>
      </c>
      <c r="M412" s="77">
        <f>IF(H412="smartmeter_1ph",Table4[[#This Row],[total_cost_npr]],Table4[[#This Row],[total_cost_npr]]/Table4[[#This Row],[pv_kWp]])</f>
        <v>5862818</v>
      </c>
      <c r="N412" s="1"/>
      <c r="O412" s="1">
        <f>Table4[[#This Row],[total_cost_inr]]/Table4[[#This Row],[pv_kWp]]</f>
        <v>0</v>
      </c>
      <c r="P412" s="1">
        <v>1127465</v>
      </c>
      <c r="Q412" s="1"/>
      <c r="R412" s="1"/>
      <c r="S412" s="1"/>
      <c r="T412" s="1">
        <v>25</v>
      </c>
      <c r="U412" s="1"/>
      <c r="V412" s="1"/>
      <c r="W412" s="1"/>
      <c r="X412" s="1"/>
      <c r="Y412" s="1"/>
      <c r="Z412" s="1"/>
      <c r="AA412" s="1"/>
      <c r="AB412" s="1"/>
      <c r="AC412" s="1"/>
      <c r="AD412" s="1">
        <v>5</v>
      </c>
      <c r="AE412" s="1"/>
      <c r="AF412" s="1"/>
      <c r="AG412" s="1"/>
      <c r="AH412" s="6"/>
      <c r="AI412" s="1"/>
      <c r="AJ412" s="1"/>
      <c r="AK412" s="1"/>
      <c r="AL412" s="1"/>
      <c r="AM412" s="1"/>
      <c r="AN412" s="1"/>
      <c r="AO412" s="1"/>
      <c r="AP412" s="1"/>
      <c r="AQ412" s="1"/>
      <c r="AR412" s="1"/>
      <c r="AS412" s="1" t="s">
        <v>487</v>
      </c>
      <c r="AT412" s="1" t="s">
        <v>488</v>
      </c>
      <c r="AU412" s="1">
        <v>0.1</v>
      </c>
      <c r="AV412" s="1">
        <v>1650</v>
      </c>
      <c r="AW412" s="1">
        <v>532000</v>
      </c>
      <c r="AX412" s="1">
        <v>115500</v>
      </c>
      <c r="AY412" s="1">
        <v>503965</v>
      </c>
      <c r="AZ412" s="1">
        <v>0.21</v>
      </c>
      <c r="BA412" s="1">
        <v>48</v>
      </c>
      <c r="BB412" s="1">
        <v>1040000</v>
      </c>
      <c r="BC412" s="1">
        <v>1127465</v>
      </c>
      <c r="BD412" s="1">
        <v>56819</v>
      </c>
      <c r="BE412" s="1">
        <v>25</v>
      </c>
      <c r="BF412" s="1">
        <v>5</v>
      </c>
      <c r="BG412" s="1">
        <v>0.12</v>
      </c>
      <c r="BH412" s="1" t="s">
        <v>483</v>
      </c>
      <c r="BI412" s="1"/>
      <c r="BJ412" s="1">
        <v>10499.270833333334</v>
      </c>
      <c r="BK412" s="1"/>
    </row>
    <row r="413" spans="1:63" ht="16" thickBot="1" x14ac:dyDescent="0.25">
      <c r="A413" s="3">
        <v>413</v>
      </c>
      <c r="B413" s="3" t="s">
        <v>477</v>
      </c>
      <c r="C413" s="3" t="s">
        <v>543</v>
      </c>
      <c r="D413" s="1" t="s">
        <v>478</v>
      </c>
      <c r="E413" s="1"/>
      <c r="F413" s="1"/>
      <c r="G413" s="1" t="s">
        <v>102</v>
      </c>
      <c r="H413" s="1" t="s">
        <v>114</v>
      </c>
      <c r="I413" s="1"/>
      <c r="J413" s="113">
        <f>Table4[[#This Row],[total_cost_npr]]*(1/'Calculations &amp; Assumptions'!$C$6)</f>
        <v>1128332.9484218629</v>
      </c>
      <c r="K413" s="113">
        <f>Table4[[#This Row],[system_cost_npr_per_kwp]]*(1/'Calculations &amp; Assumptions'!$C$6)</f>
        <v>28208.323710546571</v>
      </c>
      <c r="L413" s="23">
        <f>IF(Table4[[#This Row],[total_cost_inr]]&gt;0, Table4[[#This Row],[total_cost_inr]]*'Calculations &amp; Assumptions'!$C$7,IF(Table4[[#This Row],[total_cost_eur]]&gt;0,Table4[[#This Row],[total_cost_eur]]*'Calculations &amp; Assumptions'!$C$5,0))</f>
        <v>146570450</v>
      </c>
      <c r="M413" s="77">
        <f>IF(H413="smartmeter_1ph",Table4[[#This Row],[total_cost_npr]],Table4[[#This Row],[total_cost_npr]]/Table4[[#This Row],[pv_kWp]])</f>
        <v>3664261.25</v>
      </c>
      <c r="N413" s="1"/>
      <c r="O413" s="1">
        <f>Table4[[#This Row],[total_cost_inr]]/Table4[[#This Row],[pv_kWp]]</f>
        <v>0</v>
      </c>
      <c r="P413" s="1">
        <v>1127465</v>
      </c>
      <c r="Q413" s="1"/>
      <c r="R413" s="1"/>
      <c r="S413" s="1"/>
      <c r="T413" s="1">
        <v>40</v>
      </c>
      <c r="U413" s="1"/>
      <c r="V413" s="1"/>
      <c r="W413" s="1"/>
      <c r="X413" s="1"/>
      <c r="Y413" s="1"/>
      <c r="Z413" s="1"/>
      <c r="AA413" s="1"/>
      <c r="AB413" s="1"/>
      <c r="AC413" s="1"/>
      <c r="AD413" s="1">
        <v>5</v>
      </c>
      <c r="AE413" s="1"/>
      <c r="AF413" s="1"/>
      <c r="AG413" s="1"/>
      <c r="AH413" s="6"/>
      <c r="AI413" s="1"/>
      <c r="AJ413" s="1"/>
      <c r="AK413" s="1"/>
      <c r="AL413" s="1"/>
      <c r="AM413" s="1"/>
      <c r="AN413" s="1"/>
      <c r="AO413" s="1"/>
      <c r="AP413" s="1"/>
      <c r="AQ413" s="1"/>
      <c r="AR413" s="1"/>
      <c r="AS413" s="1" t="s">
        <v>487</v>
      </c>
      <c r="AT413" s="1" t="s">
        <v>488</v>
      </c>
      <c r="AU413" s="1">
        <v>0.15</v>
      </c>
      <c r="AV413" s="1">
        <v>1650</v>
      </c>
      <c r="AW413" s="1">
        <v>532000</v>
      </c>
      <c r="AX413" s="1">
        <v>115500</v>
      </c>
      <c r="AY413" s="1">
        <v>503965</v>
      </c>
      <c r="AZ413" s="1">
        <v>0.21</v>
      </c>
      <c r="BA413" s="1">
        <v>48</v>
      </c>
      <c r="BB413" s="1">
        <v>1040000</v>
      </c>
      <c r="BC413" s="1">
        <v>1127465</v>
      </c>
      <c r="BD413" s="1">
        <v>52244</v>
      </c>
      <c r="BE413" s="1">
        <v>40</v>
      </c>
      <c r="BF413" s="1">
        <v>5</v>
      </c>
      <c r="BG413" s="1">
        <v>0.12</v>
      </c>
      <c r="BH413" s="1" t="s">
        <v>483</v>
      </c>
      <c r="BI413" s="1"/>
      <c r="BJ413" s="1">
        <v>10499.270833333334</v>
      </c>
      <c r="BK413" s="1"/>
    </row>
    <row r="414" spans="1:63" ht="16" thickBot="1" x14ac:dyDescent="0.25">
      <c r="A414" s="3">
        <v>414</v>
      </c>
      <c r="B414" s="3" t="s">
        <v>477</v>
      </c>
      <c r="C414" s="3" t="s">
        <v>543</v>
      </c>
      <c r="D414" s="1" t="s">
        <v>478</v>
      </c>
      <c r="E414" s="1"/>
      <c r="F414" s="1"/>
      <c r="G414" s="1" t="s">
        <v>102</v>
      </c>
      <c r="H414" s="1" t="s">
        <v>114</v>
      </c>
      <c r="I414" s="1"/>
      <c r="J414" s="113">
        <f>Table4[[#This Row],[total_cost_npr]]*(1/'Calculations &amp; Assumptions'!$C$6)</f>
        <v>1138340.6466512701</v>
      </c>
      <c r="K414" s="113">
        <f>Table4[[#This Row],[system_cost_npr_per_kwp]]*(1/'Calculations &amp; Assumptions'!$C$6)</f>
        <v>20697.102666386727</v>
      </c>
      <c r="L414" s="23">
        <f>IF(Table4[[#This Row],[total_cost_inr]]&gt;0, Table4[[#This Row],[total_cost_inr]]*'Calculations &amp; Assumptions'!$C$7,IF(Table4[[#This Row],[total_cost_eur]]&gt;0,Table4[[#This Row],[total_cost_eur]]*'Calculations &amp; Assumptions'!$C$5,0))</f>
        <v>147870450</v>
      </c>
      <c r="M414" s="77">
        <f>IF(H414="smartmeter_1ph",Table4[[#This Row],[total_cost_npr]],Table4[[#This Row],[total_cost_npr]]/Table4[[#This Row],[pv_kWp]])</f>
        <v>2688553.6363636362</v>
      </c>
      <c r="N414" s="1"/>
      <c r="O414" s="1">
        <f>Table4[[#This Row],[total_cost_inr]]/Table4[[#This Row],[pv_kWp]]</f>
        <v>0</v>
      </c>
      <c r="P414" s="1">
        <v>1137465</v>
      </c>
      <c r="Q414" s="1"/>
      <c r="R414" s="1"/>
      <c r="S414" s="1"/>
      <c r="T414" s="1">
        <v>55</v>
      </c>
      <c r="U414" s="1"/>
      <c r="V414" s="1"/>
      <c r="W414" s="1"/>
      <c r="X414" s="1"/>
      <c r="Y414" s="1"/>
      <c r="Z414" s="1"/>
      <c r="AA414" s="1"/>
      <c r="AB414" s="1"/>
      <c r="AC414" s="1"/>
      <c r="AD414" s="1">
        <v>5</v>
      </c>
      <c r="AE414" s="1"/>
      <c r="AF414" s="1"/>
      <c r="AG414" s="1"/>
      <c r="AH414" s="6"/>
      <c r="AI414" s="1"/>
      <c r="AJ414" s="1"/>
      <c r="AK414" s="1"/>
      <c r="AL414" s="1"/>
      <c r="AM414" s="1"/>
      <c r="AN414" s="1"/>
      <c r="AO414" s="1"/>
      <c r="AP414" s="1"/>
      <c r="AQ414" s="1"/>
      <c r="AR414" s="1"/>
      <c r="AS414" s="1" t="s">
        <v>487</v>
      </c>
      <c r="AT414" s="1" t="s">
        <v>488</v>
      </c>
      <c r="AU414" s="1">
        <v>0.2</v>
      </c>
      <c r="AV414" s="1">
        <v>1650</v>
      </c>
      <c r="AW414" s="1">
        <v>532000</v>
      </c>
      <c r="AX414" s="1">
        <v>115500</v>
      </c>
      <c r="AY414" s="1">
        <v>503965</v>
      </c>
      <c r="AZ414" s="1">
        <v>0.21</v>
      </c>
      <c r="BA414" s="1">
        <v>48</v>
      </c>
      <c r="BB414" s="1">
        <v>1050000</v>
      </c>
      <c r="BC414" s="1">
        <v>1137465</v>
      </c>
      <c r="BD414" s="1">
        <v>47706</v>
      </c>
      <c r="BE414" s="1">
        <v>55</v>
      </c>
      <c r="BF414" s="1">
        <v>5</v>
      </c>
      <c r="BG414" s="1">
        <v>0.12</v>
      </c>
      <c r="BH414" s="1" t="s">
        <v>483</v>
      </c>
      <c r="BI414" s="1"/>
      <c r="BJ414" s="1">
        <v>10499.270833333334</v>
      </c>
      <c r="BK414" s="1"/>
    </row>
    <row r="415" spans="1:63" ht="16" thickBot="1" x14ac:dyDescent="0.25">
      <c r="A415" s="3">
        <v>415</v>
      </c>
      <c r="B415" s="3" t="s">
        <v>477</v>
      </c>
      <c r="C415" s="3" t="s">
        <v>543</v>
      </c>
      <c r="D415" s="1" t="s">
        <v>478</v>
      </c>
      <c r="E415" s="1"/>
      <c r="F415" s="1"/>
      <c r="G415" s="1" t="s">
        <v>102</v>
      </c>
      <c r="H415" s="1" t="s">
        <v>114</v>
      </c>
      <c r="I415" s="1"/>
      <c r="J415" s="113">
        <f>Table4[[#This Row],[total_cost_npr]]*(1/'Calculations &amp; Assumptions'!$C$6)</f>
        <v>1188379.1377983063</v>
      </c>
      <c r="K415" s="113">
        <f>Table4[[#This Row],[system_cost_npr_per_kwp]]*(1/'Calculations &amp; Assumptions'!$C$6)</f>
        <v>13204.212642203403</v>
      </c>
      <c r="L415" s="23">
        <f>IF(Table4[[#This Row],[total_cost_inr]]&gt;0, Table4[[#This Row],[total_cost_inr]]*'Calculations &amp; Assumptions'!$C$7,IF(Table4[[#This Row],[total_cost_eur]]&gt;0,Table4[[#This Row],[total_cost_eur]]*'Calculations &amp; Assumptions'!$C$5,0))</f>
        <v>154370450</v>
      </c>
      <c r="M415" s="77">
        <f>IF(H415="smartmeter_1ph",Table4[[#This Row],[total_cost_npr]],Table4[[#This Row],[total_cost_npr]]/Table4[[#This Row],[pv_kWp]])</f>
        <v>1715227.2222222222</v>
      </c>
      <c r="N415" s="1"/>
      <c r="O415" s="1">
        <f>Table4[[#This Row],[total_cost_inr]]/Table4[[#This Row],[pv_kWp]]</f>
        <v>0</v>
      </c>
      <c r="P415" s="1">
        <v>1187465</v>
      </c>
      <c r="Q415" s="1"/>
      <c r="R415" s="1"/>
      <c r="S415" s="1"/>
      <c r="T415" s="1">
        <v>90</v>
      </c>
      <c r="U415" s="1"/>
      <c r="V415" s="1"/>
      <c r="W415" s="1"/>
      <c r="X415" s="1"/>
      <c r="Y415" s="1"/>
      <c r="Z415" s="1"/>
      <c r="AA415" s="1"/>
      <c r="AB415" s="1"/>
      <c r="AC415" s="1"/>
      <c r="AD415" s="1">
        <v>85</v>
      </c>
      <c r="AE415" s="1"/>
      <c r="AF415" s="1"/>
      <c r="AG415" s="1"/>
      <c r="AH415" s="6"/>
      <c r="AI415" s="1"/>
      <c r="AJ415" s="1"/>
      <c r="AK415" s="1"/>
      <c r="AL415" s="1"/>
      <c r="AM415" s="1"/>
      <c r="AN415" s="1"/>
      <c r="AO415" s="1"/>
      <c r="AP415" s="1"/>
      <c r="AQ415" s="1"/>
      <c r="AR415" s="1"/>
      <c r="AS415" s="1" t="s">
        <v>487</v>
      </c>
      <c r="AT415" s="1" t="s">
        <v>488</v>
      </c>
      <c r="AU415" s="1">
        <v>0.3</v>
      </c>
      <c r="AV415" s="1">
        <v>1650</v>
      </c>
      <c r="AW415" s="1">
        <v>532000</v>
      </c>
      <c r="AX415" s="1">
        <v>115500</v>
      </c>
      <c r="AY415" s="1">
        <v>503965</v>
      </c>
      <c r="AZ415" s="1">
        <v>0.21</v>
      </c>
      <c r="BA415" s="1">
        <v>48</v>
      </c>
      <c r="BB415" s="1">
        <v>1100000</v>
      </c>
      <c r="BC415" s="1">
        <v>1187465</v>
      </c>
      <c r="BD415" s="1">
        <v>37826</v>
      </c>
      <c r="BE415" s="1">
        <v>90</v>
      </c>
      <c r="BF415" s="1">
        <v>85</v>
      </c>
      <c r="BG415" s="1">
        <v>0.12</v>
      </c>
      <c r="BH415" s="1" t="s">
        <v>483</v>
      </c>
      <c r="BI415" s="1"/>
      <c r="BJ415" s="1">
        <v>10499.270833333334</v>
      </c>
      <c r="BK415" s="1"/>
    </row>
    <row r="416" spans="1:63" ht="16" thickBot="1" x14ac:dyDescent="0.25">
      <c r="A416" s="3">
        <v>416</v>
      </c>
      <c r="B416" s="3" t="s">
        <v>477</v>
      </c>
      <c r="C416" s="3" t="s">
        <v>543</v>
      </c>
      <c r="D416" s="1" t="s">
        <v>478</v>
      </c>
      <c r="E416" s="1"/>
      <c r="F416" s="1"/>
      <c r="G416" s="1" t="s">
        <v>102</v>
      </c>
      <c r="H416" s="1" t="s">
        <v>114</v>
      </c>
      <c r="I416" s="1"/>
      <c r="J416" s="113">
        <f>Table4[[#This Row],[total_cost_npr]]*(1/'Calculations &amp; Assumptions'!$C$6)</f>
        <v>1238417.6289453425</v>
      </c>
      <c r="K416" s="113">
        <f>Table4[[#This Row],[system_cost_npr_per_kwp]]*(1/'Calculations &amp; Assumptions'!$C$6)</f>
        <v>8256.1175263022833</v>
      </c>
      <c r="L416" s="23">
        <f>IF(Table4[[#This Row],[total_cost_inr]]&gt;0, Table4[[#This Row],[total_cost_inr]]*'Calculations &amp; Assumptions'!$C$7,IF(Table4[[#This Row],[total_cost_eur]]&gt;0,Table4[[#This Row],[total_cost_eur]]*'Calculations &amp; Assumptions'!$C$5,0))</f>
        <v>160870450</v>
      </c>
      <c r="M416" s="77">
        <f>IF(H416="smartmeter_1ph",Table4[[#This Row],[total_cost_npr]],Table4[[#This Row],[total_cost_npr]]/Table4[[#This Row],[pv_kWp]])</f>
        <v>1072469.6666666667</v>
      </c>
      <c r="N416" s="1"/>
      <c r="O416" s="1">
        <f>Table4[[#This Row],[total_cost_inr]]/Table4[[#This Row],[pv_kWp]]</f>
        <v>0</v>
      </c>
      <c r="P416" s="1">
        <v>1237465</v>
      </c>
      <c r="Q416" s="1"/>
      <c r="R416" s="1"/>
      <c r="S416" s="1"/>
      <c r="T416" s="1">
        <v>150</v>
      </c>
      <c r="U416" s="1"/>
      <c r="V416" s="1"/>
      <c r="W416" s="1"/>
      <c r="X416" s="1"/>
      <c r="Y416" s="1"/>
      <c r="Z416" s="1"/>
      <c r="AA416" s="1"/>
      <c r="AB416" s="1"/>
      <c r="AC416" s="1"/>
      <c r="AD416" s="1">
        <v>151</v>
      </c>
      <c r="AE416" s="1"/>
      <c r="AF416" s="1"/>
      <c r="AG416" s="1"/>
      <c r="AH416" s="6"/>
      <c r="AI416" s="1"/>
      <c r="AJ416" s="1"/>
      <c r="AK416" s="1"/>
      <c r="AL416" s="1"/>
      <c r="AM416" s="1"/>
      <c r="AN416" s="1"/>
      <c r="AO416" s="1"/>
      <c r="AP416" s="1"/>
      <c r="AQ416" s="1"/>
      <c r="AR416" s="1"/>
      <c r="AS416" s="1" t="s">
        <v>487</v>
      </c>
      <c r="AT416" s="1" t="s">
        <v>488</v>
      </c>
      <c r="AU416" s="1">
        <v>0.4</v>
      </c>
      <c r="AV416" s="1">
        <v>1650</v>
      </c>
      <c r="AW416" s="1">
        <v>532000</v>
      </c>
      <c r="AX416" s="1">
        <v>115500</v>
      </c>
      <c r="AY416" s="1">
        <v>503965</v>
      </c>
      <c r="AZ416" s="1">
        <v>0.21</v>
      </c>
      <c r="BA416" s="1">
        <v>48</v>
      </c>
      <c r="BB416" s="1">
        <v>1150000</v>
      </c>
      <c r="BC416" s="1">
        <v>1237465</v>
      </c>
      <c r="BD416" s="1">
        <v>32976</v>
      </c>
      <c r="BE416" s="1">
        <v>150</v>
      </c>
      <c r="BF416" s="1">
        <v>151</v>
      </c>
      <c r="BG416" s="1">
        <v>0.12</v>
      </c>
      <c r="BH416" s="1" t="s">
        <v>483</v>
      </c>
      <c r="BI416" s="1"/>
      <c r="BJ416" s="1">
        <v>10499.270833333334</v>
      </c>
      <c r="BK416" s="1"/>
    </row>
    <row r="417" spans="1:63" ht="16" thickBot="1" x14ac:dyDescent="0.25">
      <c r="A417" s="3">
        <v>417</v>
      </c>
      <c r="B417" s="3" t="s">
        <v>477</v>
      </c>
      <c r="C417" s="3" t="s">
        <v>543</v>
      </c>
      <c r="D417" s="1" t="s">
        <v>478</v>
      </c>
      <c r="E417" s="1"/>
      <c r="F417" s="1"/>
      <c r="G417" s="1" t="s">
        <v>102</v>
      </c>
      <c r="H417" s="1" t="s">
        <v>114</v>
      </c>
      <c r="I417" s="1"/>
      <c r="J417" s="113">
        <f>Table4[[#This Row],[total_cost_npr]]*(1/'Calculations &amp; Assumptions'!$C$6)</f>
        <v>1208394.5342571207</v>
      </c>
      <c r="K417" s="113">
        <f>Table4[[#This Row],[system_cost_npr_per_kwp]]*(1/'Calculations &amp; Assumptions'!$C$6)</f>
        <v>10507.778558757571</v>
      </c>
      <c r="L417" s="23">
        <f>IF(Table4[[#This Row],[total_cost_inr]]&gt;0, Table4[[#This Row],[total_cost_inr]]*'Calculations &amp; Assumptions'!$C$7,IF(Table4[[#This Row],[total_cost_eur]]&gt;0,Table4[[#This Row],[total_cost_eur]]*'Calculations &amp; Assumptions'!$C$5,0))</f>
        <v>156970450</v>
      </c>
      <c r="M417" s="77">
        <f>IF(H417="smartmeter_1ph",Table4[[#This Row],[total_cost_npr]],Table4[[#This Row],[total_cost_npr]]/Table4[[#This Row],[pv_kWp]])</f>
        <v>1364960.4347826086</v>
      </c>
      <c r="N417" s="1"/>
      <c r="O417" s="1">
        <f>Table4[[#This Row],[total_cost_inr]]/Table4[[#This Row],[pv_kWp]]</f>
        <v>0</v>
      </c>
      <c r="P417" s="1">
        <v>1207465</v>
      </c>
      <c r="Q417" s="1"/>
      <c r="R417" s="1"/>
      <c r="S417" s="1"/>
      <c r="T417" s="1">
        <v>115</v>
      </c>
      <c r="U417" s="1"/>
      <c r="V417" s="1"/>
      <c r="W417" s="1"/>
      <c r="X417" s="1"/>
      <c r="Y417" s="1"/>
      <c r="Z417" s="1"/>
      <c r="AA417" s="1"/>
      <c r="AB417" s="1"/>
      <c r="AC417" s="1"/>
      <c r="AD417" s="1">
        <v>105</v>
      </c>
      <c r="AE417" s="1"/>
      <c r="AF417" s="1"/>
      <c r="AG417" s="1"/>
      <c r="AH417" s="6"/>
      <c r="AI417" s="1"/>
      <c r="AJ417" s="1"/>
      <c r="AK417" s="1"/>
      <c r="AL417" s="1"/>
      <c r="AM417" s="1"/>
      <c r="AN417" s="1"/>
      <c r="AO417" s="1"/>
      <c r="AP417" s="1"/>
      <c r="AQ417" s="1"/>
      <c r="AR417" s="1"/>
      <c r="AS417" s="1" t="s">
        <v>487</v>
      </c>
      <c r="AT417" s="1" t="s">
        <v>488</v>
      </c>
      <c r="AU417" s="1">
        <v>0.35</v>
      </c>
      <c r="AV417" s="1">
        <v>1650</v>
      </c>
      <c r="AW417" s="1">
        <v>532000</v>
      </c>
      <c r="AX417" s="1">
        <v>115500</v>
      </c>
      <c r="AY417" s="1">
        <v>503965</v>
      </c>
      <c r="AZ417" s="1">
        <v>0.21</v>
      </c>
      <c r="BA417" s="1">
        <v>48</v>
      </c>
      <c r="BB417" s="1">
        <v>1120000</v>
      </c>
      <c r="BC417" s="1">
        <v>1207465</v>
      </c>
      <c r="BD417" s="1">
        <v>35208</v>
      </c>
      <c r="BE417" s="1">
        <v>115</v>
      </c>
      <c r="BF417" s="1">
        <v>105</v>
      </c>
      <c r="BG417" s="1">
        <v>0.12</v>
      </c>
      <c r="BH417" s="1" t="s">
        <v>483</v>
      </c>
      <c r="BI417" s="1"/>
      <c r="BJ417" s="1">
        <v>10499.270833333334</v>
      </c>
      <c r="BK417" s="1"/>
    </row>
    <row r="418" spans="1:63" ht="16" thickBot="1" x14ac:dyDescent="0.25">
      <c r="A418" s="3">
        <v>418</v>
      </c>
      <c r="B418" s="3" t="s">
        <v>477</v>
      </c>
      <c r="C418" s="3" t="s">
        <v>543</v>
      </c>
      <c r="D418" s="1" t="s">
        <v>478</v>
      </c>
      <c r="E418" s="1"/>
      <c r="F418" s="1"/>
      <c r="G418" s="1" t="s">
        <v>102</v>
      </c>
      <c r="H418" s="1" t="s">
        <v>114</v>
      </c>
      <c r="I418" s="1"/>
      <c r="J418" s="113">
        <f>Table4[[#This Row],[total_cost_npr]]*(1/'Calculations &amp; Assumptions'!$C$6)</f>
        <v>1148348.3448806773</v>
      </c>
      <c r="K418" s="113">
        <f>Table4[[#This Row],[system_cost_npr_per_kwp]]*(1/'Calculations &amp; Assumptions'!$C$6)</f>
        <v>15311.311265075698</v>
      </c>
      <c r="L418" s="23">
        <f>IF(Table4[[#This Row],[total_cost_inr]]&gt;0, Table4[[#This Row],[total_cost_inr]]*'Calculations &amp; Assumptions'!$C$7,IF(Table4[[#This Row],[total_cost_eur]]&gt;0,Table4[[#This Row],[total_cost_eur]]*'Calculations &amp; Assumptions'!$C$5,0))</f>
        <v>149170450</v>
      </c>
      <c r="M418" s="77">
        <f>IF(H418="smartmeter_1ph",Table4[[#This Row],[total_cost_npr]],Table4[[#This Row],[total_cost_npr]]/Table4[[#This Row],[pv_kWp]])</f>
        <v>1988939.3333333333</v>
      </c>
      <c r="N418" s="1"/>
      <c r="O418" s="1">
        <f>Table4[[#This Row],[total_cost_inr]]/Table4[[#This Row],[pv_kWp]]</f>
        <v>0</v>
      </c>
      <c r="P418" s="1">
        <v>1147465</v>
      </c>
      <c r="Q418" s="1"/>
      <c r="R418" s="1"/>
      <c r="S418" s="1"/>
      <c r="T418" s="1">
        <v>75</v>
      </c>
      <c r="U418" s="1"/>
      <c r="V418" s="1"/>
      <c r="W418" s="1"/>
      <c r="X418" s="1"/>
      <c r="Y418" s="1"/>
      <c r="Z418" s="1"/>
      <c r="AA418" s="1"/>
      <c r="AB418" s="1"/>
      <c r="AC418" s="1"/>
      <c r="AD418" s="1">
        <v>7</v>
      </c>
      <c r="AE418" s="1"/>
      <c r="AF418" s="1"/>
      <c r="AG418" s="1"/>
      <c r="AH418" s="6"/>
      <c r="AI418" s="1"/>
      <c r="AJ418" s="1"/>
      <c r="AK418" s="1"/>
      <c r="AL418" s="1"/>
      <c r="AM418" s="1"/>
      <c r="AN418" s="1"/>
      <c r="AO418" s="1"/>
      <c r="AP418" s="1"/>
      <c r="AQ418" s="1"/>
      <c r="AR418" s="1"/>
      <c r="AS418" s="1" t="s">
        <v>487</v>
      </c>
      <c r="AT418" s="1" t="s">
        <v>488</v>
      </c>
      <c r="AU418" s="1">
        <v>0.25</v>
      </c>
      <c r="AV418" s="1">
        <v>1650</v>
      </c>
      <c r="AW418" s="1">
        <v>532000</v>
      </c>
      <c r="AX418" s="1">
        <v>115500</v>
      </c>
      <c r="AY418" s="1">
        <v>503965</v>
      </c>
      <c r="AZ418" s="1">
        <v>0.21</v>
      </c>
      <c r="BA418" s="1">
        <v>48</v>
      </c>
      <c r="BB418" s="1">
        <v>1060000</v>
      </c>
      <c r="BC418" s="1">
        <v>1147465</v>
      </c>
      <c r="BD418" s="1">
        <v>42379</v>
      </c>
      <c r="BE418" s="1">
        <v>75</v>
      </c>
      <c r="BF418" s="1">
        <v>7</v>
      </c>
      <c r="BG418" s="1">
        <v>0.12</v>
      </c>
      <c r="BH418" s="1" t="s">
        <v>483</v>
      </c>
      <c r="BI418" s="1"/>
      <c r="BJ418" s="1">
        <v>10499.270833333334</v>
      </c>
      <c r="BK418" s="1"/>
    </row>
    <row r="419" spans="1:63" ht="16" thickBot="1" x14ac:dyDescent="0.25">
      <c r="A419" s="3">
        <v>419</v>
      </c>
      <c r="B419" s="3" t="s">
        <v>477</v>
      </c>
      <c r="C419" s="3" t="s">
        <v>543</v>
      </c>
      <c r="D419" s="1" t="s">
        <v>478</v>
      </c>
      <c r="E419" s="1"/>
      <c r="F419" s="1"/>
      <c r="G419" s="1" t="s">
        <v>102</v>
      </c>
      <c r="H419" s="1" t="s">
        <v>114</v>
      </c>
      <c r="I419" s="1"/>
      <c r="J419" s="113">
        <f>Table4[[#This Row],[total_cost_npr]]*(1/'Calculations &amp; Assumptions'!$C$6)</f>
        <v>1308471.5165511931</v>
      </c>
      <c r="K419" s="113">
        <f>Table4[[#This Row],[system_cost_npr_per_kwp]]*(1/'Calculations &amp; Assumptions'!$C$6)</f>
        <v>4937.6283643441257</v>
      </c>
      <c r="L419" s="23">
        <f>IF(Table4[[#This Row],[total_cost_inr]]&gt;0, Table4[[#This Row],[total_cost_inr]]*'Calculations &amp; Assumptions'!$C$7,IF(Table4[[#This Row],[total_cost_eur]]&gt;0,Table4[[#This Row],[total_cost_eur]]*'Calculations &amp; Assumptions'!$C$5,0))</f>
        <v>169970450</v>
      </c>
      <c r="M419" s="77">
        <f>IF(H419="smartmeter_1ph",Table4[[#This Row],[total_cost_npr]],Table4[[#This Row],[total_cost_npr]]/Table4[[#This Row],[pv_kWp]])</f>
        <v>641397.92452830193</v>
      </c>
      <c r="N419" s="1"/>
      <c r="O419" s="1">
        <f>Table4[[#This Row],[total_cost_inr]]/Table4[[#This Row],[pv_kWp]]</f>
        <v>0</v>
      </c>
      <c r="P419" s="1">
        <v>1307465</v>
      </c>
      <c r="Q419" s="1"/>
      <c r="R419" s="1"/>
      <c r="S419" s="1"/>
      <c r="T419" s="1">
        <v>265</v>
      </c>
      <c r="U419" s="1"/>
      <c r="V419" s="1"/>
      <c r="W419" s="1"/>
      <c r="X419" s="1"/>
      <c r="Y419" s="1"/>
      <c r="Z419" s="1"/>
      <c r="AA419" s="1"/>
      <c r="AB419" s="1"/>
      <c r="AC419" s="1"/>
      <c r="AD419" s="1">
        <v>198</v>
      </c>
      <c r="AE419" s="1"/>
      <c r="AF419" s="1"/>
      <c r="AG419" s="1"/>
      <c r="AH419" s="6"/>
      <c r="AI419" s="1"/>
      <c r="AJ419" s="1"/>
      <c r="AK419" s="1"/>
      <c r="AL419" s="1"/>
      <c r="AM419" s="1"/>
      <c r="AN419" s="1"/>
      <c r="AO419" s="1"/>
      <c r="AP419" s="1"/>
      <c r="AQ419" s="1"/>
      <c r="AR419" s="1"/>
      <c r="AS419" s="1" t="s">
        <v>487</v>
      </c>
      <c r="AT419" s="1" t="s">
        <v>488</v>
      </c>
      <c r="AU419" s="1">
        <v>0.5</v>
      </c>
      <c r="AV419" s="1">
        <v>1650</v>
      </c>
      <c r="AW419" s="1">
        <v>532000</v>
      </c>
      <c r="AX419" s="1">
        <v>115500</v>
      </c>
      <c r="AY419" s="1">
        <v>503965</v>
      </c>
      <c r="AZ419" s="1">
        <v>0.21</v>
      </c>
      <c r="BA419" s="1">
        <v>48</v>
      </c>
      <c r="BB419" s="1">
        <v>1220000</v>
      </c>
      <c r="BC419" s="1">
        <v>1307465</v>
      </c>
      <c r="BD419" s="1">
        <v>29165</v>
      </c>
      <c r="BE419" s="1">
        <v>265</v>
      </c>
      <c r="BF419" s="1">
        <v>198</v>
      </c>
      <c r="BG419" s="1">
        <v>0.12</v>
      </c>
      <c r="BH419" s="1" t="s">
        <v>483</v>
      </c>
      <c r="BI419" s="1"/>
      <c r="BJ419" s="1">
        <v>10499.270833333334</v>
      </c>
      <c r="BK419" s="1"/>
    </row>
    <row r="420" spans="1:63" ht="16" thickBot="1" x14ac:dyDescent="0.25">
      <c r="A420" s="3">
        <v>420</v>
      </c>
      <c r="B420" s="3" t="s">
        <v>477</v>
      </c>
      <c r="C420" s="3" t="s">
        <v>543</v>
      </c>
      <c r="D420" s="1" t="s">
        <v>478</v>
      </c>
      <c r="E420" s="1"/>
      <c r="F420" s="1"/>
      <c r="G420" s="1" t="s">
        <v>102</v>
      </c>
      <c r="H420" s="1" t="s">
        <v>114</v>
      </c>
      <c r="I420" s="1"/>
      <c r="J420" s="113">
        <f>Table4[[#This Row],[total_cost_npr]]*(1/'Calculations &amp; Assumptions'!$C$6)</f>
        <v>1268440.7236335641</v>
      </c>
      <c r="K420" s="113">
        <f>Table4[[#This Row],[system_cost_npr_per_kwp]]*(1/'Calculations &amp; Assumptions'!$C$6)</f>
        <v>5219.9206733891533</v>
      </c>
      <c r="L420" s="23">
        <f>IF(Table4[[#This Row],[total_cost_inr]]&gt;0, Table4[[#This Row],[total_cost_inr]]*'Calculations &amp; Assumptions'!$C$7,IF(Table4[[#This Row],[total_cost_eur]]&gt;0,Table4[[#This Row],[total_cost_eur]]*'Calculations &amp; Assumptions'!$C$5,0))</f>
        <v>164770450</v>
      </c>
      <c r="M420" s="77">
        <f>IF(H420="smartmeter_1ph",Table4[[#This Row],[total_cost_npr]],Table4[[#This Row],[total_cost_npr]]/Table4[[#This Row],[pv_kWp]])</f>
        <v>678067.69547325105</v>
      </c>
      <c r="N420" s="1"/>
      <c r="O420" s="1">
        <f>Table4[[#This Row],[total_cost_inr]]/Table4[[#This Row],[pv_kWp]]</f>
        <v>0</v>
      </c>
      <c r="P420" s="1">
        <v>1267465</v>
      </c>
      <c r="Q420" s="1"/>
      <c r="R420" s="1"/>
      <c r="S420" s="1"/>
      <c r="T420" s="1">
        <v>243</v>
      </c>
      <c r="U420" s="1"/>
      <c r="V420" s="1"/>
      <c r="W420" s="1"/>
      <c r="X420" s="1"/>
      <c r="Y420" s="1"/>
      <c r="Z420" s="1"/>
      <c r="AA420" s="1"/>
      <c r="AB420" s="1"/>
      <c r="AC420" s="1"/>
      <c r="AD420" s="1">
        <v>152</v>
      </c>
      <c r="AE420" s="1"/>
      <c r="AF420" s="1"/>
      <c r="AG420" s="1"/>
      <c r="AH420" s="6"/>
      <c r="AI420" s="1"/>
      <c r="AJ420" s="1"/>
      <c r="AK420" s="1"/>
      <c r="AL420" s="1"/>
      <c r="AM420" s="1"/>
      <c r="AN420" s="1"/>
      <c r="AO420" s="1"/>
      <c r="AP420" s="1"/>
      <c r="AQ420" s="1"/>
      <c r="AR420" s="1"/>
      <c r="AS420" s="1" t="s">
        <v>487</v>
      </c>
      <c r="AT420" s="1" t="s">
        <v>488</v>
      </c>
      <c r="AU420" s="1">
        <v>0.45</v>
      </c>
      <c r="AV420" s="1">
        <v>1650</v>
      </c>
      <c r="AW420" s="1">
        <v>532000</v>
      </c>
      <c r="AX420" s="1">
        <v>115500</v>
      </c>
      <c r="AY420" s="1">
        <v>503965</v>
      </c>
      <c r="AZ420" s="1">
        <v>0.21</v>
      </c>
      <c r="BA420" s="1">
        <v>48</v>
      </c>
      <c r="BB420" s="1">
        <v>1180000</v>
      </c>
      <c r="BC420" s="1">
        <v>1267465</v>
      </c>
      <c r="BD420" s="1">
        <v>29760</v>
      </c>
      <c r="BE420" s="1">
        <v>243</v>
      </c>
      <c r="BF420" s="1">
        <v>152</v>
      </c>
      <c r="BG420" s="1">
        <v>0.12</v>
      </c>
      <c r="BH420" s="1" t="s">
        <v>483</v>
      </c>
      <c r="BI420" s="1"/>
      <c r="BJ420" s="1">
        <v>10499.270833333334</v>
      </c>
      <c r="BK420" s="1"/>
    </row>
    <row r="421" spans="1:63" ht="16" thickBot="1" x14ac:dyDescent="0.25">
      <c r="A421" s="3">
        <v>421</v>
      </c>
      <c r="B421" s="3" t="s">
        <v>477</v>
      </c>
      <c r="C421" s="3" t="s">
        <v>543</v>
      </c>
      <c r="D421" s="1" t="s">
        <v>478</v>
      </c>
      <c r="E421" s="1"/>
      <c r="F421" s="1"/>
      <c r="G421" s="1" t="s">
        <v>102</v>
      </c>
      <c r="H421" s="1" t="s">
        <v>114</v>
      </c>
      <c r="I421" s="1"/>
      <c r="J421" s="113">
        <f>Table4[[#This Row],[total_cost_npr]]*(1/'Calculations &amp; Assumptions'!$C$6)</f>
        <v>1358510.0076982293</v>
      </c>
      <c r="K421" s="113">
        <f>Table4[[#This Row],[system_cost_npr_per_kwp]]*(1/'Calculations &amp; Assumptions'!$C$6)</f>
        <v>4620.7823391096235</v>
      </c>
      <c r="L421" s="23">
        <f>IF(Table4[[#This Row],[total_cost_inr]]&gt;0, Table4[[#This Row],[total_cost_inr]]*'Calculations &amp; Assumptions'!$C$7,IF(Table4[[#This Row],[total_cost_eur]]&gt;0,Table4[[#This Row],[total_cost_eur]]*'Calculations &amp; Assumptions'!$C$5,0))</f>
        <v>176470450</v>
      </c>
      <c r="M421" s="77">
        <f>IF(H421="smartmeter_1ph",Table4[[#This Row],[total_cost_npr]],Table4[[#This Row],[total_cost_npr]]/Table4[[#This Row],[pv_kWp]])</f>
        <v>600239.62585034012</v>
      </c>
      <c r="N421" s="1"/>
      <c r="O421" s="1">
        <f>Table4[[#This Row],[total_cost_inr]]/Table4[[#This Row],[pv_kWp]]</f>
        <v>0</v>
      </c>
      <c r="P421" s="1">
        <v>1357465</v>
      </c>
      <c r="Q421" s="1"/>
      <c r="R421" s="1"/>
      <c r="S421" s="1"/>
      <c r="T421" s="1">
        <v>294</v>
      </c>
      <c r="U421" s="1"/>
      <c r="V421" s="1"/>
      <c r="W421" s="1"/>
      <c r="X421" s="1"/>
      <c r="Y421" s="1"/>
      <c r="Z421" s="1"/>
      <c r="AA421" s="1"/>
      <c r="AB421" s="1"/>
      <c r="AC421" s="1"/>
      <c r="AD421" s="1">
        <v>287</v>
      </c>
      <c r="AE421" s="1"/>
      <c r="AF421" s="1"/>
      <c r="AG421" s="1"/>
      <c r="AH421" s="6"/>
      <c r="AI421" s="1"/>
      <c r="AJ421" s="1"/>
      <c r="AK421" s="1"/>
      <c r="AL421" s="1"/>
      <c r="AM421" s="1"/>
      <c r="AN421" s="1"/>
      <c r="AO421" s="1"/>
      <c r="AP421" s="1"/>
      <c r="AQ421" s="1"/>
      <c r="AR421" s="1"/>
      <c r="AS421" s="1" t="s">
        <v>487</v>
      </c>
      <c r="AT421" s="1" t="s">
        <v>488</v>
      </c>
      <c r="AU421" s="1">
        <v>0.55000000000000004</v>
      </c>
      <c r="AV421" s="1">
        <v>1650</v>
      </c>
      <c r="AW421" s="1">
        <v>532000</v>
      </c>
      <c r="AX421" s="1">
        <v>115500</v>
      </c>
      <c r="AY421" s="1">
        <v>503965</v>
      </c>
      <c r="AZ421" s="1">
        <v>0.21</v>
      </c>
      <c r="BA421" s="1">
        <v>48</v>
      </c>
      <c r="BB421" s="1">
        <v>1270000</v>
      </c>
      <c r="BC421" s="1">
        <v>1357465</v>
      </c>
      <c r="BD421" s="1">
        <v>26804</v>
      </c>
      <c r="BE421" s="1">
        <v>294</v>
      </c>
      <c r="BF421" s="1">
        <v>287</v>
      </c>
      <c r="BG421" s="1">
        <v>0.12</v>
      </c>
      <c r="BH421" s="1" t="s">
        <v>483</v>
      </c>
      <c r="BI421" s="1"/>
      <c r="BJ421" s="1">
        <v>10499.270833333334</v>
      </c>
      <c r="BK421" s="1"/>
    </row>
    <row r="422" spans="1:63" ht="16" thickBot="1" x14ac:dyDescent="0.25">
      <c r="A422" s="3">
        <v>422</v>
      </c>
      <c r="B422" s="3" t="s">
        <v>477</v>
      </c>
      <c r="C422" s="3" t="s">
        <v>543</v>
      </c>
      <c r="D422" s="1" t="s">
        <v>478</v>
      </c>
      <c r="E422" s="1"/>
      <c r="F422" s="1"/>
      <c r="G422" s="1" t="s">
        <v>102</v>
      </c>
      <c r="H422" s="1" t="s">
        <v>114</v>
      </c>
      <c r="I422" s="1"/>
      <c r="J422" s="113">
        <f>Table4[[#This Row],[total_cost_npr]]*(1/'Calculations &amp; Assumptions'!$C$6)</f>
        <v>1398540.8006158583</v>
      </c>
      <c r="K422" s="113">
        <f>Table4[[#This Row],[system_cost_npr_per_kwp]]*(1/'Calculations &amp; Assumptions'!$C$6)</f>
        <v>4839.2415246223472</v>
      </c>
      <c r="L422" s="23">
        <f>IF(Table4[[#This Row],[total_cost_inr]]&gt;0, Table4[[#This Row],[total_cost_inr]]*'Calculations &amp; Assumptions'!$C$7,IF(Table4[[#This Row],[total_cost_eur]]&gt;0,Table4[[#This Row],[total_cost_eur]]*'Calculations &amp; Assumptions'!$C$5,0))</f>
        <v>181670450</v>
      </c>
      <c r="M422" s="77">
        <f>IF(H422="smartmeter_1ph",Table4[[#This Row],[total_cost_npr]],Table4[[#This Row],[total_cost_npr]]/Table4[[#This Row],[pv_kWp]])</f>
        <v>628617.47404844291</v>
      </c>
      <c r="N422" s="1"/>
      <c r="O422" s="1">
        <f>Table4[[#This Row],[total_cost_inr]]/Table4[[#This Row],[pv_kWp]]</f>
        <v>0</v>
      </c>
      <c r="P422" s="1">
        <v>1397465</v>
      </c>
      <c r="Q422" s="1"/>
      <c r="R422" s="1"/>
      <c r="S422" s="1"/>
      <c r="T422" s="1">
        <v>289</v>
      </c>
      <c r="U422" s="1"/>
      <c r="V422" s="1"/>
      <c r="W422" s="1"/>
      <c r="X422" s="1"/>
      <c r="Y422" s="1"/>
      <c r="Z422" s="1"/>
      <c r="AA422" s="1"/>
      <c r="AB422" s="1"/>
      <c r="AC422" s="1"/>
      <c r="AD422" s="1">
        <v>393</v>
      </c>
      <c r="AE422" s="1"/>
      <c r="AF422" s="1"/>
      <c r="AG422" s="1"/>
      <c r="AH422" s="6"/>
      <c r="AI422" s="1"/>
      <c r="AJ422" s="1"/>
      <c r="AK422" s="1"/>
      <c r="AL422" s="1"/>
      <c r="AM422" s="1"/>
      <c r="AN422" s="1"/>
      <c r="AO422" s="1"/>
      <c r="AP422" s="1"/>
      <c r="AQ422" s="1"/>
      <c r="AR422" s="1"/>
      <c r="AS422" s="1" t="s">
        <v>487</v>
      </c>
      <c r="AT422" s="1" t="s">
        <v>488</v>
      </c>
      <c r="AU422" s="1">
        <v>0.6</v>
      </c>
      <c r="AV422" s="1">
        <v>1650</v>
      </c>
      <c r="AW422" s="1">
        <v>532000</v>
      </c>
      <c r="AX422" s="1">
        <v>115500</v>
      </c>
      <c r="AY422" s="1">
        <v>503965</v>
      </c>
      <c r="AZ422" s="1">
        <v>0.21</v>
      </c>
      <c r="BA422" s="1">
        <v>48</v>
      </c>
      <c r="BB422" s="1">
        <v>1310000</v>
      </c>
      <c r="BC422" s="1">
        <v>1397465</v>
      </c>
      <c r="BD422" s="1">
        <v>25781</v>
      </c>
      <c r="BE422" s="1">
        <v>289</v>
      </c>
      <c r="BF422" s="1">
        <v>393</v>
      </c>
      <c r="BG422" s="1">
        <v>0.12</v>
      </c>
      <c r="BH422" s="1" t="s">
        <v>483</v>
      </c>
      <c r="BI422" s="1"/>
      <c r="BJ422" s="1">
        <v>10499.270833333334</v>
      </c>
      <c r="BK422" s="1"/>
    </row>
    <row r="423" spans="1:63" ht="16" thickBot="1" x14ac:dyDescent="0.25">
      <c r="A423" s="3">
        <v>423</v>
      </c>
      <c r="B423" s="3" t="s">
        <v>477</v>
      </c>
      <c r="C423" s="3" t="s">
        <v>543</v>
      </c>
      <c r="D423" s="1" t="s">
        <v>478</v>
      </c>
      <c r="E423" s="1"/>
      <c r="F423" s="1"/>
      <c r="G423" s="1" t="s">
        <v>102</v>
      </c>
      <c r="H423" s="1" t="s">
        <v>114</v>
      </c>
      <c r="I423" s="1"/>
      <c r="J423" s="113">
        <f>Table4[[#This Row],[total_cost_npr]]*(1/'Calculations &amp; Assumptions'!$C$6)</f>
        <v>1448579.2917628945</v>
      </c>
      <c r="K423" s="113">
        <f>Table4[[#This Row],[system_cost_npr_per_kwp]]*(1/'Calculations &amp; Assumptions'!$C$6)</f>
        <v>4443.494760008879</v>
      </c>
      <c r="L423" s="23">
        <f>IF(Table4[[#This Row],[total_cost_inr]]&gt;0, Table4[[#This Row],[total_cost_inr]]*'Calculations &amp; Assumptions'!$C$7,IF(Table4[[#This Row],[total_cost_eur]]&gt;0,Table4[[#This Row],[total_cost_eur]]*'Calculations &amp; Assumptions'!$C$5,0))</f>
        <v>188170450</v>
      </c>
      <c r="M423" s="77">
        <f>IF(H423="smartmeter_1ph",Table4[[#This Row],[total_cost_npr]],Table4[[#This Row],[total_cost_npr]]/Table4[[#This Row],[pv_kWp]])</f>
        <v>577209.96932515339</v>
      </c>
      <c r="N423" s="1"/>
      <c r="O423" s="1">
        <f>Table4[[#This Row],[total_cost_inr]]/Table4[[#This Row],[pv_kWp]]</f>
        <v>0</v>
      </c>
      <c r="P423" s="1">
        <v>1447465</v>
      </c>
      <c r="Q423" s="1"/>
      <c r="R423" s="1"/>
      <c r="S423" s="1"/>
      <c r="T423" s="1">
        <v>326</v>
      </c>
      <c r="U423" s="1"/>
      <c r="V423" s="1"/>
      <c r="W423" s="1"/>
      <c r="X423" s="1"/>
      <c r="Y423" s="1"/>
      <c r="Z423" s="1"/>
      <c r="AA423" s="1"/>
      <c r="AB423" s="1"/>
      <c r="AC423" s="1"/>
      <c r="AD423" s="1">
        <v>478</v>
      </c>
      <c r="AE423" s="1"/>
      <c r="AF423" s="1"/>
      <c r="AG423" s="1"/>
      <c r="AH423" s="6"/>
      <c r="AI423" s="1"/>
      <c r="AJ423" s="1"/>
      <c r="AK423" s="1"/>
      <c r="AL423" s="1"/>
      <c r="AM423" s="1"/>
      <c r="AN423" s="1"/>
      <c r="AO423" s="1"/>
      <c r="AP423" s="1"/>
      <c r="AQ423" s="1"/>
      <c r="AR423" s="1"/>
      <c r="AS423" s="1" t="s">
        <v>487</v>
      </c>
      <c r="AT423" s="1" t="s">
        <v>488</v>
      </c>
      <c r="AU423" s="1">
        <v>0.65</v>
      </c>
      <c r="AV423" s="1">
        <v>1650</v>
      </c>
      <c r="AW423" s="1">
        <v>532000</v>
      </c>
      <c r="AX423" s="1">
        <v>115500</v>
      </c>
      <c r="AY423" s="1">
        <v>503965</v>
      </c>
      <c r="AZ423" s="1">
        <v>0.21</v>
      </c>
      <c r="BA423" s="1">
        <v>48</v>
      </c>
      <c r="BB423" s="1">
        <v>1360000</v>
      </c>
      <c r="BC423" s="1">
        <v>1447465</v>
      </c>
      <c r="BD423" s="1">
        <v>22552</v>
      </c>
      <c r="BE423" s="1">
        <v>326</v>
      </c>
      <c r="BF423" s="1">
        <v>478</v>
      </c>
      <c r="BG423" s="1">
        <v>0.12</v>
      </c>
      <c r="BH423" s="1" t="s">
        <v>483</v>
      </c>
      <c r="BI423" s="1"/>
      <c r="BJ423" s="1">
        <v>10499.270833333334</v>
      </c>
      <c r="BK423" s="1"/>
    </row>
    <row r="424" spans="1:63" ht="16" thickBot="1" x14ac:dyDescent="0.25">
      <c r="A424" s="3">
        <v>424</v>
      </c>
      <c r="B424" s="3" t="s">
        <v>477</v>
      </c>
      <c r="C424" s="3" t="s">
        <v>543</v>
      </c>
      <c r="D424" s="1" t="s">
        <v>478</v>
      </c>
      <c r="E424" s="1"/>
      <c r="F424" s="1"/>
      <c r="G424" s="1" t="s">
        <v>102</v>
      </c>
      <c r="H424" s="1" t="s">
        <v>114</v>
      </c>
      <c r="I424" s="1"/>
      <c r="J424" s="113">
        <f>Table4[[#This Row],[total_cost_npr]]*(1/'Calculations &amp; Assumptions'!$C$6)</f>
        <v>1488610.0846805233</v>
      </c>
      <c r="K424" s="113">
        <f>Table4[[#This Row],[system_cost_npr_per_kwp]]*(1/'Calculations &amp; Assumptions'!$C$6)</f>
        <v>4123.5736417743028</v>
      </c>
      <c r="L424" s="23">
        <f>IF(Table4[[#This Row],[total_cost_inr]]&gt;0, Table4[[#This Row],[total_cost_inr]]*'Calculations &amp; Assumptions'!$C$7,IF(Table4[[#This Row],[total_cost_eur]]&gt;0,Table4[[#This Row],[total_cost_eur]]*'Calculations &amp; Assumptions'!$C$5,0))</f>
        <v>193370450</v>
      </c>
      <c r="M424" s="77">
        <f>IF(H424="smartmeter_1ph",Table4[[#This Row],[total_cost_npr]],Table4[[#This Row],[total_cost_npr]]/Table4[[#This Row],[pv_kWp]])</f>
        <v>535652.21606648201</v>
      </c>
      <c r="N424" s="1"/>
      <c r="O424" s="1">
        <f>Table4[[#This Row],[total_cost_inr]]/Table4[[#This Row],[pv_kWp]]</f>
        <v>0</v>
      </c>
      <c r="P424" s="1">
        <v>1487465</v>
      </c>
      <c r="Q424" s="1"/>
      <c r="R424" s="1"/>
      <c r="S424" s="1"/>
      <c r="T424" s="1">
        <v>361</v>
      </c>
      <c r="U424" s="1"/>
      <c r="V424" s="1"/>
      <c r="W424" s="1"/>
      <c r="X424" s="1"/>
      <c r="Y424" s="1"/>
      <c r="Z424" s="1"/>
      <c r="AA424" s="1"/>
      <c r="AB424" s="1"/>
      <c r="AC424" s="1"/>
      <c r="AD424" s="1">
        <v>547</v>
      </c>
      <c r="AE424" s="1"/>
      <c r="AF424" s="1"/>
      <c r="AG424" s="1"/>
      <c r="AH424" s="6"/>
      <c r="AI424" s="1"/>
      <c r="AJ424" s="1"/>
      <c r="AK424" s="1"/>
      <c r="AL424" s="1"/>
      <c r="AM424" s="1"/>
      <c r="AN424" s="1"/>
      <c r="AO424" s="1"/>
      <c r="AP424" s="1"/>
      <c r="AQ424" s="1"/>
      <c r="AR424" s="1"/>
      <c r="AS424" s="1" t="s">
        <v>487</v>
      </c>
      <c r="AT424" s="1" t="s">
        <v>488</v>
      </c>
      <c r="AU424" s="1">
        <v>0.7</v>
      </c>
      <c r="AV424" s="1">
        <v>1650</v>
      </c>
      <c r="AW424" s="1">
        <v>532000</v>
      </c>
      <c r="AX424" s="1">
        <v>115500</v>
      </c>
      <c r="AY424" s="1">
        <v>503965</v>
      </c>
      <c r="AZ424" s="1">
        <v>0.21</v>
      </c>
      <c r="BA424" s="1">
        <v>48</v>
      </c>
      <c r="BB424" s="1">
        <v>1400000</v>
      </c>
      <c r="BC424" s="1">
        <v>1487465</v>
      </c>
      <c r="BD424" s="1">
        <v>20899</v>
      </c>
      <c r="BE424" s="1">
        <v>361</v>
      </c>
      <c r="BF424" s="1">
        <v>547</v>
      </c>
      <c r="BG424" s="1">
        <v>0.12</v>
      </c>
      <c r="BH424" s="1" t="s">
        <v>483</v>
      </c>
      <c r="BI424" s="1"/>
      <c r="BJ424" s="1">
        <v>10499.270833333334</v>
      </c>
      <c r="BK424" s="1"/>
    </row>
    <row r="425" spans="1:63" ht="16" thickBot="1" x14ac:dyDescent="0.25">
      <c r="A425" s="3">
        <v>425</v>
      </c>
      <c r="B425" s="3" t="s">
        <v>477</v>
      </c>
      <c r="C425" s="3" t="s">
        <v>543</v>
      </c>
      <c r="D425" s="1" t="s">
        <v>478</v>
      </c>
      <c r="E425" s="1"/>
      <c r="F425" s="1"/>
      <c r="G425" s="1" t="s">
        <v>102</v>
      </c>
      <c r="H425" s="1" t="s">
        <v>114</v>
      </c>
      <c r="I425" s="1"/>
      <c r="J425" s="113">
        <f>Table4[[#This Row],[total_cost_npr]]*(1/'Calculations &amp; Assumptions'!$C$6)</f>
        <v>1538648.5758275595</v>
      </c>
      <c r="K425" s="113">
        <f>Table4[[#This Row],[system_cost_npr_per_kwp]]*(1/'Calculations &amp; Assumptions'!$C$6)</f>
        <v>4250.4104304628709</v>
      </c>
      <c r="L425" s="23">
        <f>IF(Table4[[#This Row],[total_cost_inr]]&gt;0, Table4[[#This Row],[total_cost_inr]]*'Calculations &amp; Assumptions'!$C$7,IF(Table4[[#This Row],[total_cost_eur]]&gt;0,Table4[[#This Row],[total_cost_eur]]*'Calculations &amp; Assumptions'!$C$5,0))</f>
        <v>199870450</v>
      </c>
      <c r="M425" s="77">
        <f>IF(H425="smartmeter_1ph",Table4[[#This Row],[total_cost_npr]],Table4[[#This Row],[total_cost_npr]]/Table4[[#This Row],[pv_kWp]])</f>
        <v>552128.31491712702</v>
      </c>
      <c r="N425" s="1"/>
      <c r="O425" s="1">
        <f>Table4[[#This Row],[total_cost_inr]]/Table4[[#This Row],[pv_kWp]]</f>
        <v>0</v>
      </c>
      <c r="P425" s="1">
        <v>1537465</v>
      </c>
      <c r="Q425" s="1"/>
      <c r="R425" s="1"/>
      <c r="S425" s="1"/>
      <c r="T425" s="1">
        <v>362</v>
      </c>
      <c r="U425" s="1"/>
      <c r="V425" s="1"/>
      <c r="W425" s="1"/>
      <c r="X425" s="1"/>
      <c r="Y425" s="1"/>
      <c r="Z425" s="1"/>
      <c r="AA425" s="1"/>
      <c r="AB425" s="1"/>
      <c r="AC425" s="1"/>
      <c r="AD425" s="1">
        <v>657</v>
      </c>
      <c r="AE425" s="1"/>
      <c r="AF425" s="1"/>
      <c r="AG425" s="1"/>
      <c r="AH425" s="6"/>
      <c r="AI425" s="1"/>
      <c r="AJ425" s="1"/>
      <c r="AK425" s="1"/>
      <c r="AL425" s="1"/>
      <c r="AM425" s="1"/>
      <c r="AN425" s="1"/>
      <c r="AO425" s="1"/>
      <c r="AP425" s="1"/>
      <c r="AQ425" s="1"/>
      <c r="AR425" s="1"/>
      <c r="AS425" s="1" t="s">
        <v>487</v>
      </c>
      <c r="AT425" s="1" t="s">
        <v>488</v>
      </c>
      <c r="AU425" s="1">
        <v>0.75</v>
      </c>
      <c r="AV425" s="1">
        <v>1650</v>
      </c>
      <c r="AW425" s="1">
        <v>532000</v>
      </c>
      <c r="AX425" s="1">
        <v>115500</v>
      </c>
      <c r="AY425" s="1">
        <v>503965</v>
      </c>
      <c r="AZ425" s="1">
        <v>0.21</v>
      </c>
      <c r="BA425" s="1">
        <v>48</v>
      </c>
      <c r="BB425" s="1">
        <v>1450000</v>
      </c>
      <c r="BC425" s="1">
        <v>1537465</v>
      </c>
      <c r="BD425" s="1">
        <v>17784</v>
      </c>
      <c r="BE425" s="1">
        <v>362</v>
      </c>
      <c r="BF425" s="1">
        <v>657</v>
      </c>
      <c r="BG425" s="1">
        <v>0.12</v>
      </c>
      <c r="BH425" s="1" t="s">
        <v>483</v>
      </c>
      <c r="BI425" s="1"/>
      <c r="BJ425" s="1">
        <v>10499.270833333334</v>
      </c>
      <c r="BK425" s="1"/>
    </row>
    <row r="426" spans="1:63" ht="16" thickBot="1" x14ac:dyDescent="0.25">
      <c r="A426" s="3">
        <v>426</v>
      </c>
      <c r="B426" s="3" t="s">
        <v>477</v>
      </c>
      <c r="C426" s="3" t="s">
        <v>543</v>
      </c>
      <c r="D426" s="1" t="s">
        <v>478</v>
      </c>
      <c r="E426" s="1"/>
      <c r="F426" s="1"/>
      <c r="G426" s="1" t="s">
        <v>102</v>
      </c>
      <c r="H426" s="1" t="s">
        <v>114</v>
      </c>
      <c r="I426" s="1"/>
      <c r="J426" s="113">
        <f>Table4[[#This Row],[total_cost_npr]]*(1/'Calculations &amp; Assumptions'!$C$6)</f>
        <v>1578679.3687451885</v>
      </c>
      <c r="K426" s="113">
        <f>Table4[[#This Row],[system_cost_npr_per_kwp]]*(1/'Calculations &amp; Assumptions'!$C$6)</f>
        <v>3956.5898966044824</v>
      </c>
      <c r="L426" s="23">
        <f>IF(Table4[[#This Row],[total_cost_inr]]&gt;0, Table4[[#This Row],[total_cost_inr]]*'Calculations &amp; Assumptions'!$C$7,IF(Table4[[#This Row],[total_cost_eur]]&gt;0,Table4[[#This Row],[total_cost_eur]]*'Calculations &amp; Assumptions'!$C$5,0))</f>
        <v>205070450</v>
      </c>
      <c r="M426" s="77">
        <f>IF(H426="smartmeter_1ph",Table4[[#This Row],[total_cost_npr]],Table4[[#This Row],[total_cost_npr]]/Table4[[#This Row],[pv_kWp]])</f>
        <v>513961.02756892232</v>
      </c>
      <c r="N426" s="1"/>
      <c r="O426" s="1">
        <f>Table4[[#This Row],[total_cost_inr]]/Table4[[#This Row],[pv_kWp]]</f>
        <v>0</v>
      </c>
      <c r="P426" s="1">
        <v>1577465</v>
      </c>
      <c r="Q426" s="1"/>
      <c r="R426" s="1"/>
      <c r="S426" s="1"/>
      <c r="T426" s="1">
        <v>399</v>
      </c>
      <c r="U426" s="1"/>
      <c r="V426" s="1"/>
      <c r="W426" s="1"/>
      <c r="X426" s="1"/>
      <c r="Y426" s="1"/>
      <c r="Z426" s="1"/>
      <c r="AA426" s="1"/>
      <c r="AB426" s="1"/>
      <c r="AC426" s="1"/>
      <c r="AD426" s="1">
        <v>734</v>
      </c>
      <c r="AE426" s="1"/>
      <c r="AF426" s="1"/>
      <c r="AG426" s="1"/>
      <c r="AH426" s="6"/>
      <c r="AI426" s="1"/>
      <c r="AJ426" s="1"/>
      <c r="AK426" s="1"/>
      <c r="AL426" s="1"/>
      <c r="AM426" s="1"/>
      <c r="AN426" s="1"/>
      <c r="AO426" s="1"/>
      <c r="AP426" s="1"/>
      <c r="AQ426" s="1"/>
      <c r="AR426" s="1"/>
      <c r="AS426" s="1" t="s">
        <v>487</v>
      </c>
      <c r="AT426" s="1" t="s">
        <v>488</v>
      </c>
      <c r="AU426" s="1">
        <v>0.8</v>
      </c>
      <c r="AV426" s="1">
        <v>1650</v>
      </c>
      <c r="AW426" s="1">
        <v>532000</v>
      </c>
      <c r="AX426" s="1">
        <v>115500</v>
      </c>
      <c r="AY426" s="1">
        <v>503965</v>
      </c>
      <c r="AZ426" s="1">
        <v>0.21</v>
      </c>
      <c r="BA426" s="1">
        <v>48</v>
      </c>
      <c r="BB426" s="1">
        <v>1490000</v>
      </c>
      <c r="BC426" s="1">
        <v>1577465</v>
      </c>
      <c r="BD426" s="1">
        <v>14171</v>
      </c>
      <c r="BE426" s="1">
        <v>399</v>
      </c>
      <c r="BF426" s="1">
        <v>734</v>
      </c>
      <c r="BG426" s="1">
        <v>0.12</v>
      </c>
      <c r="BH426" s="1" t="s">
        <v>483</v>
      </c>
      <c r="BI426" s="1"/>
      <c r="BJ426" s="1">
        <v>10499.270833333334</v>
      </c>
      <c r="BK426" s="1"/>
    </row>
    <row r="427" spans="1:63" ht="16" thickBot="1" x14ac:dyDescent="0.25">
      <c r="A427" s="3">
        <v>427</v>
      </c>
      <c r="B427" s="3" t="s">
        <v>477</v>
      </c>
      <c r="C427" s="3" t="s">
        <v>543</v>
      </c>
      <c r="D427" s="1" t="s">
        <v>478</v>
      </c>
      <c r="E427" s="1"/>
      <c r="F427" s="1"/>
      <c r="G427" s="1" t="s">
        <v>102</v>
      </c>
      <c r="H427" s="1" t="s">
        <v>114</v>
      </c>
      <c r="I427" s="1"/>
      <c r="J427" s="113">
        <f>Table4[[#This Row],[total_cost_npr]]*(1/'Calculations &amp; Assumptions'!$C$6)</f>
        <v>1628717.8598922247</v>
      </c>
      <c r="K427" s="113">
        <f>Table4[[#This Row],[system_cost_npr_per_kwp]]*(1/'Calculations &amp; Assumptions'!$C$6)</f>
        <v>3805.4155604958519</v>
      </c>
      <c r="L427" s="23">
        <f>IF(Table4[[#This Row],[total_cost_inr]]&gt;0, Table4[[#This Row],[total_cost_inr]]*'Calculations &amp; Assumptions'!$C$7,IF(Table4[[#This Row],[total_cost_eur]]&gt;0,Table4[[#This Row],[total_cost_eur]]*'Calculations &amp; Assumptions'!$C$5,0))</f>
        <v>211570450</v>
      </c>
      <c r="M427" s="77">
        <f>IF(H427="smartmeter_1ph",Table4[[#This Row],[total_cost_npr]],Table4[[#This Row],[total_cost_npr]]/Table4[[#This Row],[pv_kWp]])</f>
        <v>494323.48130841122</v>
      </c>
      <c r="N427" s="1"/>
      <c r="O427" s="1">
        <f>Table4[[#This Row],[total_cost_inr]]/Table4[[#This Row],[pv_kWp]]</f>
        <v>0</v>
      </c>
      <c r="P427" s="1">
        <v>1627465</v>
      </c>
      <c r="Q427" s="1"/>
      <c r="R427" s="1"/>
      <c r="S427" s="1"/>
      <c r="T427" s="1">
        <v>428</v>
      </c>
      <c r="U427" s="1"/>
      <c r="V427" s="1"/>
      <c r="W427" s="1"/>
      <c r="X427" s="1"/>
      <c r="Y427" s="1"/>
      <c r="Z427" s="1"/>
      <c r="AA427" s="1"/>
      <c r="AB427" s="1"/>
      <c r="AC427" s="1"/>
      <c r="AD427" s="1">
        <v>819</v>
      </c>
      <c r="AE427" s="1"/>
      <c r="AF427" s="1"/>
      <c r="AG427" s="1"/>
      <c r="AH427" s="6"/>
      <c r="AI427" s="1"/>
      <c r="AJ427" s="1"/>
      <c r="AK427" s="1"/>
      <c r="AL427" s="1"/>
      <c r="AM427" s="1"/>
      <c r="AN427" s="1"/>
      <c r="AO427" s="1"/>
      <c r="AP427" s="1"/>
      <c r="AQ427" s="1"/>
      <c r="AR427" s="1"/>
      <c r="AS427" s="1" t="s">
        <v>487</v>
      </c>
      <c r="AT427" s="1" t="s">
        <v>488</v>
      </c>
      <c r="AU427" s="1">
        <v>0.85</v>
      </c>
      <c r="AV427" s="1">
        <v>1650</v>
      </c>
      <c r="AW427" s="1">
        <v>532000</v>
      </c>
      <c r="AX427" s="1">
        <v>115500</v>
      </c>
      <c r="AY427" s="1">
        <v>503965</v>
      </c>
      <c r="AZ427" s="1">
        <v>0.21</v>
      </c>
      <c r="BA427" s="1">
        <v>48</v>
      </c>
      <c r="BB427" s="1">
        <v>1540000</v>
      </c>
      <c r="BC427" s="1">
        <v>1627465</v>
      </c>
      <c r="BD427" s="1">
        <v>10026</v>
      </c>
      <c r="BE427" s="1">
        <v>428</v>
      </c>
      <c r="BF427" s="1">
        <v>819</v>
      </c>
      <c r="BG427" s="1">
        <v>0.12</v>
      </c>
      <c r="BH427" s="1" t="s">
        <v>483</v>
      </c>
      <c r="BI427" s="1"/>
      <c r="BJ427" s="1">
        <v>10499.270833333334</v>
      </c>
      <c r="BK427" s="1"/>
    </row>
    <row r="428" spans="1:63" ht="16" thickBot="1" x14ac:dyDescent="0.25">
      <c r="A428" s="3">
        <v>428</v>
      </c>
      <c r="B428" s="3" t="s">
        <v>477</v>
      </c>
      <c r="C428" s="3" t="s">
        <v>543</v>
      </c>
      <c r="D428" s="1" t="s">
        <v>478</v>
      </c>
      <c r="E428" s="1"/>
      <c r="F428" s="1"/>
      <c r="G428" s="1" t="s">
        <v>102</v>
      </c>
      <c r="H428" s="1" t="s">
        <v>114</v>
      </c>
      <c r="I428" s="1"/>
      <c r="J428" s="113">
        <f>Table4[[#This Row],[total_cost_npr]]*(1/'Calculations &amp; Assumptions'!$C$6)</f>
        <v>1688764.0492686681</v>
      </c>
      <c r="K428" s="113">
        <f>Table4[[#This Row],[system_cost_npr_per_kwp]]*(1/'Calculations &amp; Assumptions'!$C$6)</f>
        <v>3503.6598532544981</v>
      </c>
      <c r="L428" s="23">
        <f>IF(Table4[[#This Row],[total_cost_inr]]&gt;0, Table4[[#This Row],[total_cost_inr]]*'Calculations &amp; Assumptions'!$C$7,IF(Table4[[#This Row],[total_cost_eur]]&gt;0,Table4[[#This Row],[total_cost_eur]]*'Calculations &amp; Assumptions'!$C$5,0))</f>
        <v>219370450</v>
      </c>
      <c r="M428" s="77">
        <f>IF(H428="smartmeter_1ph",Table4[[#This Row],[total_cost_npr]],Table4[[#This Row],[total_cost_npr]]/Table4[[#This Row],[pv_kWp]])</f>
        <v>455125.41493775934</v>
      </c>
      <c r="N428" s="1"/>
      <c r="O428" s="1">
        <f>Table4[[#This Row],[total_cost_inr]]/Table4[[#This Row],[pv_kWp]]</f>
        <v>0</v>
      </c>
      <c r="P428" s="1">
        <v>1687465</v>
      </c>
      <c r="Q428" s="1"/>
      <c r="R428" s="1"/>
      <c r="S428" s="1"/>
      <c r="T428" s="1">
        <v>482</v>
      </c>
      <c r="U428" s="1"/>
      <c r="V428" s="1"/>
      <c r="W428" s="1"/>
      <c r="X428" s="1"/>
      <c r="Y428" s="1"/>
      <c r="Z428" s="1"/>
      <c r="AA428" s="1"/>
      <c r="AB428" s="1"/>
      <c r="AC428" s="1"/>
      <c r="AD428" s="1">
        <v>887</v>
      </c>
      <c r="AE428" s="1"/>
      <c r="AF428" s="1"/>
      <c r="AG428" s="1"/>
      <c r="AH428" s="6"/>
      <c r="AI428" s="1"/>
      <c r="AJ428" s="1"/>
      <c r="AK428" s="1"/>
      <c r="AL428" s="1"/>
      <c r="AM428" s="1"/>
      <c r="AN428" s="1"/>
      <c r="AO428" s="1"/>
      <c r="AP428" s="1"/>
      <c r="AQ428" s="1"/>
      <c r="AR428" s="1"/>
      <c r="AS428" s="1" t="s">
        <v>487</v>
      </c>
      <c r="AT428" s="1" t="s">
        <v>488</v>
      </c>
      <c r="AU428" s="1">
        <v>0.9</v>
      </c>
      <c r="AV428" s="1">
        <v>1650</v>
      </c>
      <c r="AW428" s="1">
        <v>532000</v>
      </c>
      <c r="AX428" s="1">
        <v>115500</v>
      </c>
      <c r="AY428" s="1">
        <v>503965</v>
      </c>
      <c r="AZ428" s="1">
        <v>0.21</v>
      </c>
      <c r="BA428" s="1">
        <v>48</v>
      </c>
      <c r="BB428" s="1">
        <v>1600000</v>
      </c>
      <c r="BC428" s="1">
        <v>1687465</v>
      </c>
      <c r="BD428" s="1">
        <v>6398</v>
      </c>
      <c r="BE428" s="1">
        <v>482</v>
      </c>
      <c r="BF428" s="1">
        <v>887</v>
      </c>
      <c r="BG428" s="1">
        <v>0.12</v>
      </c>
      <c r="BH428" s="1" t="s">
        <v>483</v>
      </c>
      <c r="BI428" s="1"/>
      <c r="BJ428" s="1">
        <v>10499.270833333334</v>
      </c>
      <c r="BK428" s="1"/>
    </row>
    <row r="429" spans="1:63" ht="16" thickBot="1" x14ac:dyDescent="0.25">
      <c r="A429" s="3">
        <v>429</v>
      </c>
      <c r="B429" s="3" t="s">
        <v>477</v>
      </c>
      <c r="C429" s="3" t="s">
        <v>543</v>
      </c>
      <c r="D429" s="1" t="s">
        <v>478</v>
      </c>
      <c r="E429" s="1"/>
      <c r="F429" s="1"/>
      <c r="G429" s="1" t="s">
        <v>102</v>
      </c>
      <c r="H429" s="1" t="s">
        <v>114</v>
      </c>
      <c r="I429" s="1"/>
      <c r="J429" s="113">
        <f>Table4[[#This Row],[total_cost_npr]]*(1/'Calculations &amp; Assumptions'!$C$6)</f>
        <v>882018.47575057729</v>
      </c>
      <c r="K429" s="113">
        <f>Table4[[#This Row],[system_cost_npr_per_kwp]]*(1/'Calculations &amp; Assumptions'!$C$6)</f>
        <v>23211.012519752036</v>
      </c>
      <c r="L429" s="23">
        <f>IF(Table4[[#This Row],[total_cost_inr]]&gt;0, Table4[[#This Row],[total_cost_inr]]*'Calculations &amp; Assumptions'!$C$7,IF(Table4[[#This Row],[total_cost_eur]]&gt;0,Table4[[#This Row],[total_cost_eur]]*'Calculations &amp; Assumptions'!$C$5,0))</f>
        <v>114574200</v>
      </c>
      <c r="M429" s="77">
        <f>IF(H429="smartmeter_1ph",Table4[[#This Row],[total_cost_npr]],Table4[[#This Row],[total_cost_npr]]/Table4[[#This Row],[pv_kWp]])</f>
        <v>3015110.5263157897</v>
      </c>
      <c r="N429" s="1"/>
      <c r="O429" s="1">
        <f>Table4[[#This Row],[total_cost_inr]]/Table4[[#This Row],[pv_kWp]]</f>
        <v>0</v>
      </c>
      <c r="P429" s="1">
        <v>881340</v>
      </c>
      <c r="Q429" s="1"/>
      <c r="R429" s="1"/>
      <c r="S429" s="1"/>
      <c r="T429" s="1">
        <v>38</v>
      </c>
      <c r="U429" s="1"/>
      <c r="V429" s="1"/>
      <c r="W429" s="1"/>
      <c r="X429" s="1"/>
      <c r="Y429" s="1"/>
      <c r="Z429" s="1"/>
      <c r="AA429" s="1"/>
      <c r="AB429" s="1"/>
      <c r="AC429" s="1"/>
      <c r="AD429" s="1">
        <v>16</v>
      </c>
      <c r="AE429" s="1"/>
      <c r="AF429" s="1"/>
      <c r="AG429" s="1"/>
      <c r="AH429" s="6"/>
      <c r="AI429" s="1"/>
      <c r="AJ429" s="1"/>
      <c r="AK429" s="1"/>
      <c r="AL429" s="1"/>
      <c r="AM429" s="1"/>
      <c r="AN429" s="1"/>
      <c r="AO429" s="1"/>
      <c r="AP429" s="1"/>
      <c r="AQ429" s="1"/>
      <c r="AR429" s="1"/>
      <c r="AS429" s="1" t="s">
        <v>489</v>
      </c>
      <c r="AT429" s="1" t="s">
        <v>490</v>
      </c>
      <c r="AU429" s="1">
        <v>0.1</v>
      </c>
      <c r="AV429" s="1">
        <v>2900</v>
      </c>
      <c r="AW429" s="1">
        <v>585000</v>
      </c>
      <c r="AX429" s="1">
        <v>203000</v>
      </c>
      <c r="AY429" s="1">
        <v>523340.00000000006</v>
      </c>
      <c r="AZ429" s="1">
        <v>0.37</v>
      </c>
      <c r="BA429" s="1">
        <v>25</v>
      </c>
      <c r="BB429" s="1">
        <v>740000</v>
      </c>
      <c r="BC429" s="1">
        <v>881340</v>
      </c>
      <c r="BD429" s="1">
        <v>180541</v>
      </c>
      <c r="BE429" s="1">
        <v>38</v>
      </c>
      <c r="BF429" s="1">
        <v>16</v>
      </c>
      <c r="BG429" s="1">
        <v>0.1</v>
      </c>
      <c r="BH429" s="1" t="s">
        <v>481</v>
      </c>
      <c r="BI429" s="1"/>
      <c r="BJ429" s="1">
        <v>20933.600000000002</v>
      </c>
      <c r="BK429" s="1"/>
    </row>
    <row r="430" spans="1:63" ht="16" thickBot="1" x14ac:dyDescent="0.25">
      <c r="A430" s="3">
        <v>430</v>
      </c>
      <c r="B430" s="3" t="s">
        <v>477</v>
      </c>
      <c r="C430" s="3" t="s">
        <v>543</v>
      </c>
      <c r="D430" s="1" t="s">
        <v>478</v>
      </c>
      <c r="E430" s="1"/>
      <c r="F430" s="1"/>
      <c r="G430" s="1" t="s">
        <v>102</v>
      </c>
      <c r="H430" s="1" t="s">
        <v>114</v>
      </c>
      <c r="I430" s="1"/>
      <c r="J430" s="113">
        <f>Table4[[#This Row],[total_cost_npr]]*(1/'Calculations &amp; Assumptions'!$C$6)</f>
        <v>892026.17397998448</v>
      </c>
      <c r="K430" s="113">
        <f>Table4[[#This Row],[system_cost_npr_per_kwp]]*(1/'Calculations &amp; Assumptions'!$C$6)</f>
        <v>16218.657708726991</v>
      </c>
      <c r="L430" s="23">
        <f>IF(Table4[[#This Row],[total_cost_inr]]&gt;0, Table4[[#This Row],[total_cost_inr]]*'Calculations &amp; Assumptions'!$C$7,IF(Table4[[#This Row],[total_cost_eur]]&gt;0,Table4[[#This Row],[total_cost_eur]]*'Calculations &amp; Assumptions'!$C$5,0))</f>
        <v>115874200</v>
      </c>
      <c r="M430" s="77">
        <f>IF(H430="smartmeter_1ph",Table4[[#This Row],[total_cost_npr]],Table4[[#This Row],[total_cost_npr]]/Table4[[#This Row],[pv_kWp]])</f>
        <v>2106803.6363636362</v>
      </c>
      <c r="N430" s="1"/>
      <c r="O430" s="1">
        <f>Table4[[#This Row],[total_cost_inr]]/Table4[[#This Row],[pv_kWp]]</f>
        <v>0</v>
      </c>
      <c r="P430" s="1">
        <v>891340</v>
      </c>
      <c r="Q430" s="1"/>
      <c r="R430" s="1"/>
      <c r="S430" s="1"/>
      <c r="T430" s="1">
        <v>55</v>
      </c>
      <c r="U430" s="1"/>
      <c r="V430" s="1"/>
      <c r="W430" s="1"/>
      <c r="X430" s="1"/>
      <c r="Y430" s="1"/>
      <c r="Z430" s="1"/>
      <c r="AA430" s="1"/>
      <c r="AB430" s="1"/>
      <c r="AC430" s="1"/>
      <c r="AD430" s="1">
        <v>23</v>
      </c>
      <c r="AE430" s="1"/>
      <c r="AF430" s="1"/>
      <c r="AG430" s="1"/>
      <c r="AH430" s="6"/>
      <c r="AI430" s="1"/>
      <c r="AJ430" s="1"/>
      <c r="AK430" s="1"/>
      <c r="AL430" s="1"/>
      <c r="AM430" s="1"/>
      <c r="AN430" s="1"/>
      <c r="AO430" s="1"/>
      <c r="AP430" s="1"/>
      <c r="AQ430" s="1"/>
      <c r="AR430" s="1"/>
      <c r="AS430" s="1" t="s">
        <v>489</v>
      </c>
      <c r="AT430" s="1" t="s">
        <v>490</v>
      </c>
      <c r="AU430" s="1">
        <v>0.15</v>
      </c>
      <c r="AV430" s="1">
        <v>2900</v>
      </c>
      <c r="AW430" s="1">
        <v>585000</v>
      </c>
      <c r="AX430" s="1">
        <v>203000</v>
      </c>
      <c r="AY430" s="1">
        <v>523340.00000000006</v>
      </c>
      <c r="AZ430" s="1">
        <v>0.37</v>
      </c>
      <c r="BA430" s="1">
        <v>25</v>
      </c>
      <c r="BB430" s="1">
        <v>750000</v>
      </c>
      <c r="BC430" s="1">
        <v>891340</v>
      </c>
      <c r="BD430" s="1">
        <v>172312</v>
      </c>
      <c r="BE430" s="1">
        <v>55</v>
      </c>
      <c r="BF430" s="1">
        <v>23</v>
      </c>
      <c r="BG430" s="1">
        <v>0.1</v>
      </c>
      <c r="BH430" s="1" t="s">
        <v>481</v>
      </c>
      <c r="BI430" s="1"/>
      <c r="BJ430" s="1">
        <v>20933.600000000002</v>
      </c>
      <c r="BK430" s="1"/>
    </row>
    <row r="431" spans="1:63" ht="16" thickBot="1" x14ac:dyDescent="0.25">
      <c r="A431" s="3">
        <v>431</v>
      </c>
      <c r="B431" s="3" t="s">
        <v>477</v>
      </c>
      <c r="C431" s="3" t="s">
        <v>543</v>
      </c>
      <c r="D431" s="1" t="s">
        <v>478</v>
      </c>
      <c r="E431" s="1"/>
      <c r="F431" s="1"/>
      <c r="G431" s="1" t="s">
        <v>102</v>
      </c>
      <c r="H431" s="1" t="s">
        <v>114</v>
      </c>
      <c r="I431" s="1"/>
      <c r="J431" s="113">
        <f>Table4[[#This Row],[total_cost_npr]]*(1/'Calculations &amp; Assumptions'!$C$6)</f>
        <v>901033.10238645098</v>
      </c>
      <c r="K431" s="113">
        <f>Table4[[#This Row],[system_cost_npr_per_kwp]]*(1/'Calculations &amp; Assumptions'!$C$6)</f>
        <v>12871.901462663585</v>
      </c>
      <c r="L431" s="23">
        <f>IF(Table4[[#This Row],[total_cost_inr]]&gt;0, Table4[[#This Row],[total_cost_inr]]*'Calculations &amp; Assumptions'!$C$7,IF(Table4[[#This Row],[total_cost_eur]]&gt;0,Table4[[#This Row],[total_cost_eur]]*'Calculations &amp; Assumptions'!$C$5,0))</f>
        <v>117044200</v>
      </c>
      <c r="M431" s="77">
        <f>IF(H431="smartmeter_1ph",Table4[[#This Row],[total_cost_npr]],Table4[[#This Row],[total_cost_npr]]/Table4[[#This Row],[pv_kWp]])</f>
        <v>1672060</v>
      </c>
      <c r="N431" s="1"/>
      <c r="O431" s="1">
        <f>Table4[[#This Row],[total_cost_inr]]/Table4[[#This Row],[pv_kWp]]</f>
        <v>0</v>
      </c>
      <c r="P431" s="1">
        <v>900340</v>
      </c>
      <c r="Q431" s="1"/>
      <c r="R431" s="1"/>
      <c r="S431" s="1"/>
      <c r="T431" s="1">
        <v>70</v>
      </c>
      <c r="U431" s="1"/>
      <c r="V431" s="1"/>
      <c r="W431" s="1"/>
      <c r="X431" s="1"/>
      <c r="Y431" s="1"/>
      <c r="Z431" s="1"/>
      <c r="AA431" s="1"/>
      <c r="AB431" s="1"/>
      <c r="AC431" s="1"/>
      <c r="AD431" s="1">
        <v>30</v>
      </c>
      <c r="AE431" s="1"/>
      <c r="AF431" s="1"/>
      <c r="AG431" s="1"/>
      <c r="AH431" s="6"/>
      <c r="AI431" s="1"/>
      <c r="AJ431" s="1"/>
      <c r="AK431" s="1"/>
      <c r="AL431" s="1"/>
      <c r="AM431" s="1"/>
      <c r="AN431" s="1"/>
      <c r="AO431" s="1"/>
      <c r="AP431" s="1"/>
      <c r="AQ431" s="1"/>
      <c r="AR431" s="1"/>
      <c r="AS431" s="1" t="s">
        <v>489</v>
      </c>
      <c r="AT431" s="1" t="s">
        <v>490</v>
      </c>
      <c r="AU431" s="1">
        <v>0.2</v>
      </c>
      <c r="AV431" s="1">
        <v>2900</v>
      </c>
      <c r="AW431" s="1">
        <v>585000</v>
      </c>
      <c r="AX431" s="1">
        <v>203000</v>
      </c>
      <c r="AY431" s="1">
        <v>523340.00000000006</v>
      </c>
      <c r="AZ431" s="1">
        <v>0.37</v>
      </c>
      <c r="BA431" s="1">
        <v>25</v>
      </c>
      <c r="BB431" s="1">
        <v>758999.99999999988</v>
      </c>
      <c r="BC431" s="1">
        <v>900340</v>
      </c>
      <c r="BD431" s="1">
        <v>165055</v>
      </c>
      <c r="BE431" s="1">
        <v>70</v>
      </c>
      <c r="BF431" s="1">
        <v>30</v>
      </c>
      <c r="BG431" s="1">
        <v>0.1</v>
      </c>
      <c r="BH431" s="1" t="s">
        <v>481</v>
      </c>
      <c r="BI431" s="1"/>
      <c r="BJ431" s="1">
        <v>20933.600000000002</v>
      </c>
      <c r="BK431" s="1"/>
    </row>
    <row r="432" spans="1:63" ht="16" thickBot="1" x14ac:dyDescent="0.25">
      <c r="A432" s="3">
        <v>432</v>
      </c>
      <c r="B432" s="3" t="s">
        <v>477</v>
      </c>
      <c r="C432" s="3" t="s">
        <v>543</v>
      </c>
      <c r="D432" s="1" t="s">
        <v>478</v>
      </c>
      <c r="E432" s="1"/>
      <c r="F432" s="1"/>
      <c r="G432" s="1" t="s">
        <v>102</v>
      </c>
      <c r="H432" s="1" t="s">
        <v>114</v>
      </c>
      <c r="I432" s="1"/>
      <c r="J432" s="113">
        <f>Table4[[#This Row],[total_cost_npr]]*(1/'Calculations &amp; Assumptions'!$C$6)</f>
        <v>915043.87990762119</v>
      </c>
      <c r="K432" s="113">
        <f>Table4[[#This Row],[system_cost_npr_per_kwp]]*(1/'Calculations &amp; Assumptions'!$C$6)</f>
        <v>9632.0408411328553</v>
      </c>
      <c r="L432" s="23">
        <f>IF(Table4[[#This Row],[total_cost_inr]]&gt;0, Table4[[#This Row],[total_cost_inr]]*'Calculations &amp; Assumptions'!$C$7,IF(Table4[[#This Row],[total_cost_eur]]&gt;0,Table4[[#This Row],[total_cost_eur]]*'Calculations &amp; Assumptions'!$C$5,0))</f>
        <v>118864200</v>
      </c>
      <c r="M432" s="77">
        <f>IF(H432="smartmeter_1ph",Table4[[#This Row],[total_cost_npr]],Table4[[#This Row],[total_cost_npr]]/Table4[[#This Row],[pv_kWp]])</f>
        <v>1251202.105263158</v>
      </c>
      <c r="N432" s="1"/>
      <c r="O432" s="1">
        <f>Table4[[#This Row],[total_cost_inr]]/Table4[[#This Row],[pv_kWp]]</f>
        <v>0</v>
      </c>
      <c r="P432" s="1">
        <v>914340</v>
      </c>
      <c r="Q432" s="1"/>
      <c r="R432" s="1"/>
      <c r="S432" s="1"/>
      <c r="T432" s="1">
        <v>95</v>
      </c>
      <c r="U432" s="1"/>
      <c r="V432" s="1"/>
      <c r="W432" s="1"/>
      <c r="X432" s="1"/>
      <c r="Y432" s="1"/>
      <c r="Z432" s="1"/>
      <c r="AA432" s="1"/>
      <c r="AB432" s="1"/>
      <c r="AC432" s="1"/>
      <c r="AD432" s="1">
        <v>40</v>
      </c>
      <c r="AE432" s="1"/>
      <c r="AF432" s="1"/>
      <c r="AG432" s="1"/>
      <c r="AH432" s="6"/>
      <c r="AI432" s="1"/>
      <c r="AJ432" s="1"/>
      <c r="AK432" s="1"/>
      <c r="AL432" s="1"/>
      <c r="AM432" s="1"/>
      <c r="AN432" s="1"/>
      <c r="AO432" s="1"/>
      <c r="AP432" s="1"/>
      <c r="AQ432" s="1"/>
      <c r="AR432" s="1"/>
      <c r="AS432" s="1" t="s">
        <v>489</v>
      </c>
      <c r="AT432" s="1" t="s">
        <v>490</v>
      </c>
      <c r="AU432" s="1">
        <v>0.25</v>
      </c>
      <c r="AV432" s="1">
        <v>2900</v>
      </c>
      <c r="AW432" s="1">
        <v>585000</v>
      </c>
      <c r="AX432" s="1">
        <v>203000</v>
      </c>
      <c r="AY432" s="1">
        <v>523340.00000000006</v>
      </c>
      <c r="AZ432" s="1">
        <v>0.37</v>
      </c>
      <c r="BA432" s="1">
        <v>25</v>
      </c>
      <c r="BB432" s="1">
        <v>772999.99999999988</v>
      </c>
      <c r="BC432" s="1">
        <v>914340</v>
      </c>
      <c r="BD432" s="1">
        <v>154132</v>
      </c>
      <c r="BE432" s="1">
        <v>95</v>
      </c>
      <c r="BF432" s="1">
        <v>40</v>
      </c>
      <c r="BG432" s="1">
        <v>0.1</v>
      </c>
      <c r="BH432" s="1" t="s">
        <v>481</v>
      </c>
      <c r="BI432" s="1"/>
      <c r="BJ432" s="1">
        <v>20933.600000000002</v>
      </c>
      <c r="BK432" s="1"/>
    </row>
    <row r="433" spans="1:63" ht="16" thickBot="1" x14ac:dyDescent="0.25">
      <c r="A433" s="3">
        <v>433</v>
      </c>
      <c r="B433" s="3" t="s">
        <v>477</v>
      </c>
      <c r="C433" s="3" t="s">
        <v>543</v>
      </c>
      <c r="D433" s="1" t="s">
        <v>478</v>
      </c>
      <c r="E433" s="1"/>
      <c r="F433" s="1"/>
      <c r="G433" s="1" t="s">
        <v>102</v>
      </c>
      <c r="H433" s="1" t="s">
        <v>114</v>
      </c>
      <c r="I433" s="1"/>
      <c r="J433" s="113">
        <f>Table4[[#This Row],[total_cost_npr]]*(1/'Calculations &amp; Assumptions'!$C$6)</f>
        <v>1000109.3148575827</v>
      </c>
      <c r="K433" s="113">
        <f>Table4[[#This Row],[system_cost_npr_per_kwp]]*(1/'Calculations &amp; Assumptions'!$C$6)</f>
        <v>5405.9962965274735</v>
      </c>
      <c r="L433" s="23">
        <f>IF(Table4[[#This Row],[total_cost_inr]]&gt;0, Table4[[#This Row],[total_cost_inr]]*'Calculations &amp; Assumptions'!$C$7,IF(Table4[[#This Row],[total_cost_eur]]&gt;0,Table4[[#This Row],[total_cost_eur]]*'Calculations &amp; Assumptions'!$C$5,0))</f>
        <v>129914200</v>
      </c>
      <c r="M433" s="77">
        <f>IF(H433="smartmeter_1ph",Table4[[#This Row],[total_cost_npr]],Table4[[#This Row],[total_cost_npr]]/Table4[[#This Row],[pv_kWp]])</f>
        <v>702238.91891891893</v>
      </c>
      <c r="N433" s="1"/>
      <c r="O433" s="1">
        <f>Table4[[#This Row],[total_cost_inr]]/Table4[[#This Row],[pv_kWp]]</f>
        <v>0</v>
      </c>
      <c r="P433" s="1">
        <v>999340</v>
      </c>
      <c r="Q433" s="1"/>
      <c r="R433" s="1"/>
      <c r="S433" s="1"/>
      <c r="T433" s="1">
        <v>185</v>
      </c>
      <c r="U433" s="1"/>
      <c r="V433" s="1"/>
      <c r="W433" s="1"/>
      <c r="X433" s="1"/>
      <c r="Y433" s="1"/>
      <c r="Z433" s="1"/>
      <c r="AA433" s="1"/>
      <c r="AB433" s="1"/>
      <c r="AC433" s="1"/>
      <c r="AD433" s="1">
        <v>135</v>
      </c>
      <c r="AE433" s="1"/>
      <c r="AF433" s="1"/>
      <c r="AG433" s="1"/>
      <c r="AH433" s="6"/>
      <c r="AI433" s="1"/>
      <c r="AJ433" s="1"/>
      <c r="AK433" s="1"/>
      <c r="AL433" s="1"/>
      <c r="AM433" s="1"/>
      <c r="AN433" s="1"/>
      <c r="AO433" s="1"/>
      <c r="AP433" s="1"/>
      <c r="AQ433" s="1"/>
      <c r="AR433" s="1"/>
      <c r="AS433" s="1" t="s">
        <v>489</v>
      </c>
      <c r="AT433" s="1" t="s">
        <v>490</v>
      </c>
      <c r="AU433" s="1">
        <v>0.4</v>
      </c>
      <c r="AV433" s="1">
        <v>2900</v>
      </c>
      <c r="AW433" s="1">
        <v>585000</v>
      </c>
      <c r="AX433" s="1">
        <v>203000</v>
      </c>
      <c r="AY433" s="1">
        <v>523340.00000000006</v>
      </c>
      <c r="AZ433" s="1">
        <v>0.37</v>
      </c>
      <c r="BA433" s="1">
        <v>25</v>
      </c>
      <c r="BB433" s="1">
        <v>858000</v>
      </c>
      <c r="BC433" s="1">
        <v>999340</v>
      </c>
      <c r="BD433" s="1">
        <v>125918</v>
      </c>
      <c r="BE433" s="1">
        <v>185</v>
      </c>
      <c r="BF433" s="1">
        <v>135</v>
      </c>
      <c r="BG433" s="1">
        <v>0.1</v>
      </c>
      <c r="BH433" s="1" t="s">
        <v>481</v>
      </c>
      <c r="BI433" s="1"/>
      <c r="BJ433" s="1">
        <v>20933.600000000002</v>
      </c>
      <c r="BK433" s="1"/>
    </row>
    <row r="434" spans="1:63" ht="16" thickBot="1" x14ac:dyDescent="0.25">
      <c r="A434" s="3">
        <v>434</v>
      </c>
      <c r="B434" s="3" t="s">
        <v>477</v>
      </c>
      <c r="C434" s="3" t="s">
        <v>543</v>
      </c>
      <c r="D434" s="1" t="s">
        <v>478</v>
      </c>
      <c r="E434" s="1"/>
      <c r="F434" s="1"/>
      <c r="G434" s="1" t="s">
        <v>102</v>
      </c>
      <c r="H434" s="1" t="s">
        <v>114</v>
      </c>
      <c r="I434" s="1"/>
      <c r="J434" s="113">
        <f>Table4[[#This Row],[total_cost_npr]]*(1/'Calculations &amp; Assumptions'!$C$6)</f>
        <v>1072164.7421093148</v>
      </c>
      <c r="K434" s="113">
        <f>Table4[[#This Row],[system_cost_npr_per_kwp]]*(1/'Calculations &amp; Assumptions'!$C$6)</f>
        <v>3970.9805263307958</v>
      </c>
      <c r="L434" s="23">
        <f>IF(Table4[[#This Row],[total_cost_inr]]&gt;0, Table4[[#This Row],[total_cost_inr]]*'Calculations &amp; Assumptions'!$C$7,IF(Table4[[#This Row],[total_cost_eur]]&gt;0,Table4[[#This Row],[total_cost_eur]]*'Calculations &amp; Assumptions'!$C$5,0))</f>
        <v>139274200</v>
      </c>
      <c r="M434" s="77">
        <f>IF(H434="smartmeter_1ph",Table4[[#This Row],[total_cost_npr]],Table4[[#This Row],[total_cost_npr]]/Table4[[#This Row],[pv_kWp]])</f>
        <v>515830.37037037039</v>
      </c>
      <c r="N434" s="1"/>
      <c r="O434" s="1">
        <f>Table4[[#This Row],[total_cost_inr]]/Table4[[#This Row],[pv_kWp]]</f>
        <v>0</v>
      </c>
      <c r="P434" s="1">
        <v>1071340</v>
      </c>
      <c r="Q434" s="1"/>
      <c r="R434" s="1"/>
      <c r="S434" s="1"/>
      <c r="T434" s="1">
        <v>270</v>
      </c>
      <c r="U434" s="1"/>
      <c r="V434" s="1"/>
      <c r="W434" s="1"/>
      <c r="X434" s="1"/>
      <c r="Y434" s="1"/>
      <c r="Z434" s="1"/>
      <c r="AA434" s="1"/>
      <c r="AB434" s="1"/>
      <c r="AC434" s="1"/>
      <c r="AD434" s="1">
        <v>205</v>
      </c>
      <c r="AE434" s="1"/>
      <c r="AF434" s="1"/>
      <c r="AG434" s="1"/>
      <c r="AH434" s="6"/>
      <c r="AI434" s="1"/>
      <c r="AJ434" s="1"/>
      <c r="AK434" s="1"/>
      <c r="AL434" s="1"/>
      <c r="AM434" s="1"/>
      <c r="AN434" s="1"/>
      <c r="AO434" s="1"/>
      <c r="AP434" s="1"/>
      <c r="AQ434" s="1"/>
      <c r="AR434" s="1"/>
      <c r="AS434" s="1" t="s">
        <v>489</v>
      </c>
      <c r="AT434" s="1" t="s">
        <v>490</v>
      </c>
      <c r="AU434" s="1">
        <v>0.5</v>
      </c>
      <c r="AV434" s="1">
        <v>2900</v>
      </c>
      <c r="AW434" s="1">
        <v>585000</v>
      </c>
      <c r="AX434" s="1">
        <v>203000</v>
      </c>
      <c r="AY434" s="1">
        <v>523340.00000000006</v>
      </c>
      <c r="AZ434" s="1">
        <v>0.37</v>
      </c>
      <c r="BA434" s="1">
        <v>25</v>
      </c>
      <c r="BB434" s="1">
        <v>929999.99999999988</v>
      </c>
      <c r="BC434" s="1">
        <v>1071340</v>
      </c>
      <c r="BD434" s="1">
        <v>106211</v>
      </c>
      <c r="BE434" s="1">
        <v>270</v>
      </c>
      <c r="BF434" s="1">
        <v>205</v>
      </c>
      <c r="BG434" s="1">
        <v>0.1</v>
      </c>
      <c r="BH434" s="1" t="s">
        <v>481</v>
      </c>
      <c r="BI434" s="1"/>
      <c r="BJ434" s="1">
        <v>20933.600000000002</v>
      </c>
      <c r="BK434" s="1"/>
    </row>
    <row r="435" spans="1:63" ht="16" thickBot="1" x14ac:dyDescent="0.25">
      <c r="A435" s="3">
        <v>435</v>
      </c>
      <c r="B435" s="3" t="s">
        <v>477</v>
      </c>
      <c r="C435" s="3" t="s">
        <v>543</v>
      </c>
      <c r="D435" s="1" t="s">
        <v>478</v>
      </c>
      <c r="E435" s="1"/>
      <c r="F435" s="1"/>
      <c r="G435" s="1" t="s">
        <v>102</v>
      </c>
      <c r="H435" s="1" t="s">
        <v>114</v>
      </c>
      <c r="I435" s="1"/>
      <c r="J435" s="113">
        <f>Table4[[#This Row],[total_cost_npr]]*(1/'Calculations &amp; Assumptions'!$C$6)</f>
        <v>1039139.3379522709</v>
      </c>
      <c r="K435" s="113">
        <f>Table4[[#This Row],[system_cost_npr_per_kwp]]*(1/'Calculations &amp; Assumptions'!$C$6)</f>
        <v>4517.9971215316127</v>
      </c>
      <c r="L435" s="23">
        <f>IF(Table4[[#This Row],[total_cost_inr]]&gt;0, Table4[[#This Row],[total_cost_inr]]*'Calculations &amp; Assumptions'!$C$7,IF(Table4[[#This Row],[total_cost_eur]]&gt;0,Table4[[#This Row],[total_cost_eur]]*'Calculations &amp; Assumptions'!$C$5,0))</f>
        <v>134984200</v>
      </c>
      <c r="M435" s="77">
        <f>IF(H435="smartmeter_1ph",Table4[[#This Row],[total_cost_npr]],Table4[[#This Row],[total_cost_npr]]/Table4[[#This Row],[pv_kWp]])</f>
        <v>586887.82608695654</v>
      </c>
      <c r="N435" s="1"/>
      <c r="O435" s="1">
        <f>Table4[[#This Row],[total_cost_inr]]/Table4[[#This Row],[pv_kWp]]</f>
        <v>0</v>
      </c>
      <c r="P435" s="1">
        <v>1038340</v>
      </c>
      <c r="Q435" s="1"/>
      <c r="R435" s="1"/>
      <c r="S435" s="1"/>
      <c r="T435" s="1">
        <v>230</v>
      </c>
      <c r="U435" s="1"/>
      <c r="V435" s="1"/>
      <c r="W435" s="1"/>
      <c r="X435" s="1"/>
      <c r="Y435" s="1"/>
      <c r="Z435" s="1"/>
      <c r="AA435" s="1"/>
      <c r="AB435" s="1"/>
      <c r="AC435" s="1"/>
      <c r="AD435" s="1">
        <v>180</v>
      </c>
      <c r="AE435" s="1"/>
      <c r="AF435" s="1"/>
      <c r="AG435" s="1"/>
      <c r="AH435" s="6"/>
      <c r="AI435" s="1"/>
      <c r="AJ435" s="1"/>
      <c r="AK435" s="1"/>
      <c r="AL435" s="1"/>
      <c r="AM435" s="1"/>
      <c r="AN435" s="1"/>
      <c r="AO435" s="1"/>
      <c r="AP435" s="1"/>
      <c r="AQ435" s="1"/>
      <c r="AR435" s="1"/>
      <c r="AS435" s="1" t="s">
        <v>489</v>
      </c>
      <c r="AT435" s="1" t="s">
        <v>490</v>
      </c>
      <c r="AU435" s="1">
        <v>0.45</v>
      </c>
      <c r="AV435" s="1">
        <v>2900</v>
      </c>
      <c r="AW435" s="1">
        <v>585000</v>
      </c>
      <c r="AX435" s="1">
        <v>203000</v>
      </c>
      <c r="AY435" s="1">
        <v>523340.00000000006</v>
      </c>
      <c r="AZ435" s="1">
        <v>0.37</v>
      </c>
      <c r="BA435" s="1">
        <v>25</v>
      </c>
      <c r="BB435" s="1">
        <v>897000</v>
      </c>
      <c r="BC435" s="1">
        <v>1038340</v>
      </c>
      <c r="BD435" s="1">
        <v>114750</v>
      </c>
      <c r="BE435" s="1">
        <v>230</v>
      </c>
      <c r="BF435" s="1">
        <v>180</v>
      </c>
      <c r="BG435" s="1">
        <v>0.1</v>
      </c>
      <c r="BH435" s="1" t="s">
        <v>481</v>
      </c>
      <c r="BI435" s="1"/>
      <c r="BJ435" s="1">
        <v>20933.600000000002</v>
      </c>
      <c r="BK435" s="1"/>
    </row>
    <row r="436" spans="1:63" ht="16" thickBot="1" x14ac:dyDescent="0.25">
      <c r="A436" s="3">
        <v>436</v>
      </c>
      <c r="B436" s="3" t="s">
        <v>477</v>
      </c>
      <c r="C436" s="3" t="s">
        <v>543</v>
      </c>
      <c r="D436" s="1" t="s">
        <v>478</v>
      </c>
      <c r="E436" s="1"/>
      <c r="F436" s="1"/>
      <c r="G436" s="1" t="s">
        <v>102</v>
      </c>
      <c r="H436" s="1" t="s">
        <v>114</v>
      </c>
      <c r="I436" s="1"/>
      <c r="J436" s="113">
        <f>Table4[[#This Row],[total_cost_npr]]*(1/'Calculations &amp; Assumptions'!$C$6)</f>
        <v>971086.98999230168</v>
      </c>
      <c r="K436" s="113">
        <f>Table4[[#This Row],[system_cost_npr_per_kwp]]*(1/'Calculations &amp; Assumptions'!$C$6)</f>
        <v>6473.9132666153446</v>
      </c>
      <c r="L436" s="23">
        <f>IF(Table4[[#This Row],[total_cost_inr]]&gt;0, Table4[[#This Row],[total_cost_inr]]*'Calculations &amp; Assumptions'!$C$7,IF(Table4[[#This Row],[total_cost_eur]]&gt;0,Table4[[#This Row],[total_cost_eur]]*'Calculations &amp; Assumptions'!$C$5,0))</f>
        <v>126144200</v>
      </c>
      <c r="M436" s="77">
        <f>IF(H436="smartmeter_1ph",Table4[[#This Row],[total_cost_npr]],Table4[[#This Row],[total_cost_npr]]/Table4[[#This Row],[pv_kWp]])</f>
        <v>840961.33333333337</v>
      </c>
      <c r="N436" s="1"/>
      <c r="O436" s="1">
        <f>Table4[[#This Row],[total_cost_inr]]/Table4[[#This Row],[pv_kWp]]</f>
        <v>0</v>
      </c>
      <c r="P436" s="1">
        <v>970340</v>
      </c>
      <c r="Q436" s="1"/>
      <c r="R436" s="1"/>
      <c r="S436" s="1"/>
      <c r="T436" s="1">
        <v>150</v>
      </c>
      <c r="U436" s="1"/>
      <c r="V436" s="1"/>
      <c r="W436" s="1"/>
      <c r="X436" s="1"/>
      <c r="Y436" s="1"/>
      <c r="Z436" s="1"/>
      <c r="AA436" s="1"/>
      <c r="AB436" s="1"/>
      <c r="AC436" s="1"/>
      <c r="AD436" s="1">
        <v>110</v>
      </c>
      <c r="AE436" s="1"/>
      <c r="AF436" s="1"/>
      <c r="AG436" s="1"/>
      <c r="AH436" s="6"/>
      <c r="AI436" s="1"/>
      <c r="AJ436" s="1"/>
      <c r="AK436" s="1"/>
      <c r="AL436" s="1"/>
      <c r="AM436" s="1"/>
      <c r="AN436" s="1"/>
      <c r="AO436" s="1"/>
      <c r="AP436" s="1"/>
      <c r="AQ436" s="1"/>
      <c r="AR436" s="1"/>
      <c r="AS436" s="1" t="s">
        <v>489</v>
      </c>
      <c r="AT436" s="1" t="s">
        <v>490</v>
      </c>
      <c r="AU436" s="1">
        <v>0.35</v>
      </c>
      <c r="AV436" s="1">
        <v>2900</v>
      </c>
      <c r="AW436" s="1">
        <v>585000</v>
      </c>
      <c r="AX436" s="1">
        <v>203000</v>
      </c>
      <c r="AY436" s="1">
        <v>523340.00000000006</v>
      </c>
      <c r="AZ436" s="1">
        <v>0.37</v>
      </c>
      <c r="BA436" s="1">
        <v>25</v>
      </c>
      <c r="BB436" s="1">
        <v>829000</v>
      </c>
      <c r="BC436" s="1">
        <v>970340</v>
      </c>
      <c r="BD436" s="1">
        <v>135023</v>
      </c>
      <c r="BE436" s="1">
        <v>150</v>
      </c>
      <c r="BF436" s="1">
        <v>110</v>
      </c>
      <c r="BG436" s="1">
        <v>0.1</v>
      </c>
      <c r="BH436" s="1" t="s">
        <v>481</v>
      </c>
      <c r="BI436" s="1"/>
      <c r="BJ436" s="1">
        <v>20933.600000000002</v>
      </c>
      <c r="BK436" s="1"/>
    </row>
    <row r="437" spans="1:63" ht="16" thickBot="1" x14ac:dyDescent="0.25">
      <c r="A437" s="3">
        <v>437</v>
      </c>
      <c r="B437" s="3" t="s">
        <v>477</v>
      </c>
      <c r="C437" s="3" t="s">
        <v>543</v>
      </c>
      <c r="D437" s="1" t="s">
        <v>478</v>
      </c>
      <c r="E437" s="1"/>
      <c r="F437" s="1"/>
      <c r="G437" s="1" t="s">
        <v>102</v>
      </c>
      <c r="H437" s="1" t="s">
        <v>114</v>
      </c>
      <c r="I437" s="1"/>
      <c r="J437" s="113">
        <f>Table4[[#This Row],[total_cost_npr]]*(1/'Calculations &amp; Assumptions'!$C$6)</f>
        <v>941063.89530407998</v>
      </c>
      <c r="K437" s="113">
        <f>Table4[[#This Row],[system_cost_npr_per_kwp]]*(1/'Calculations &amp; Assumptions'!$C$6)</f>
        <v>7842.1991275339997</v>
      </c>
      <c r="L437" s="23">
        <f>IF(Table4[[#This Row],[total_cost_inr]]&gt;0, Table4[[#This Row],[total_cost_inr]]*'Calculations &amp; Assumptions'!$C$7,IF(Table4[[#This Row],[total_cost_eur]]&gt;0,Table4[[#This Row],[total_cost_eur]]*'Calculations &amp; Assumptions'!$C$5,0))</f>
        <v>122244200</v>
      </c>
      <c r="M437" s="77">
        <f>IF(H437="smartmeter_1ph",Table4[[#This Row],[total_cost_npr]],Table4[[#This Row],[total_cost_npr]]/Table4[[#This Row],[pv_kWp]])</f>
        <v>1018701.6666666666</v>
      </c>
      <c r="N437" s="1"/>
      <c r="O437" s="1">
        <f>Table4[[#This Row],[total_cost_inr]]/Table4[[#This Row],[pv_kWp]]</f>
        <v>0</v>
      </c>
      <c r="P437" s="1">
        <v>940340</v>
      </c>
      <c r="Q437" s="1"/>
      <c r="R437" s="1"/>
      <c r="S437" s="1"/>
      <c r="T437" s="1">
        <v>120</v>
      </c>
      <c r="U437" s="1"/>
      <c r="V437" s="1"/>
      <c r="W437" s="1"/>
      <c r="X437" s="1"/>
      <c r="Y437" s="1"/>
      <c r="Z437" s="1"/>
      <c r="AA437" s="1"/>
      <c r="AB437" s="1"/>
      <c r="AC437" s="1"/>
      <c r="AD437" s="1">
        <v>70</v>
      </c>
      <c r="AE437" s="1"/>
      <c r="AF437" s="1"/>
      <c r="AG437" s="1"/>
      <c r="AH437" s="6"/>
      <c r="AI437" s="1"/>
      <c r="AJ437" s="1"/>
      <c r="AK437" s="1"/>
      <c r="AL437" s="1"/>
      <c r="AM437" s="1"/>
      <c r="AN437" s="1"/>
      <c r="AO437" s="1"/>
      <c r="AP437" s="1"/>
      <c r="AQ437" s="1"/>
      <c r="AR437" s="1"/>
      <c r="AS437" s="1" t="s">
        <v>489</v>
      </c>
      <c r="AT437" s="1" t="s">
        <v>490</v>
      </c>
      <c r="AU437" s="1">
        <v>0.3</v>
      </c>
      <c r="AV437" s="1">
        <v>2900</v>
      </c>
      <c r="AW437" s="1">
        <v>585000</v>
      </c>
      <c r="AX437" s="1">
        <v>203000</v>
      </c>
      <c r="AY437" s="1">
        <v>523340.00000000006</v>
      </c>
      <c r="AZ437" s="1">
        <v>0.37</v>
      </c>
      <c r="BA437" s="1">
        <v>25</v>
      </c>
      <c r="BB437" s="1">
        <v>798999.99999999988</v>
      </c>
      <c r="BC437" s="1">
        <v>940340</v>
      </c>
      <c r="BD437" s="1">
        <v>144342</v>
      </c>
      <c r="BE437" s="1">
        <v>120</v>
      </c>
      <c r="BF437" s="1">
        <v>70</v>
      </c>
      <c r="BG437" s="1">
        <v>0.1</v>
      </c>
      <c r="BH437" s="1" t="s">
        <v>481</v>
      </c>
      <c r="BI437" s="1"/>
      <c r="BJ437" s="1">
        <v>20933.600000000002</v>
      </c>
      <c r="BK437" s="1"/>
    </row>
    <row r="438" spans="1:63" ht="16" thickBot="1" x14ac:dyDescent="0.25">
      <c r="A438" s="3">
        <v>438</v>
      </c>
      <c r="B438" s="3" t="s">
        <v>477</v>
      </c>
      <c r="C438" s="3" t="s">
        <v>543</v>
      </c>
      <c r="D438" s="1" t="s">
        <v>478</v>
      </c>
      <c r="E438" s="1"/>
      <c r="F438" s="1"/>
      <c r="G438" s="1" t="s">
        <v>102</v>
      </c>
      <c r="H438" s="1" t="s">
        <v>114</v>
      </c>
      <c r="I438" s="1"/>
      <c r="J438" s="113">
        <f>Table4[[#This Row],[total_cost_npr]]*(1/'Calculations &amp; Assumptions'!$C$6)</f>
        <v>1131210.1616628177</v>
      </c>
      <c r="K438" s="113">
        <f>Table4[[#This Row],[system_cost_npr_per_kwp]]*(1/'Calculations &amp; Assumptions'!$C$6)</f>
        <v>3327.0887107729932</v>
      </c>
      <c r="L438" s="23">
        <f>IF(Table4[[#This Row],[total_cost_inr]]&gt;0, Table4[[#This Row],[total_cost_inr]]*'Calculations &amp; Assumptions'!$C$7,IF(Table4[[#This Row],[total_cost_eur]]&gt;0,Table4[[#This Row],[total_cost_eur]]*'Calculations &amp; Assumptions'!$C$5,0))</f>
        <v>146944200.00000003</v>
      </c>
      <c r="M438" s="77">
        <f>IF(H438="smartmeter_1ph",Table4[[#This Row],[total_cost_npr]],Table4[[#This Row],[total_cost_npr]]/Table4[[#This Row],[pv_kWp]])</f>
        <v>432188.82352941186</v>
      </c>
      <c r="N438" s="1"/>
      <c r="O438" s="1">
        <f>Table4[[#This Row],[total_cost_inr]]/Table4[[#This Row],[pv_kWp]]</f>
        <v>0</v>
      </c>
      <c r="P438" s="1">
        <v>1130340.0000000002</v>
      </c>
      <c r="Q438" s="1"/>
      <c r="R438" s="1"/>
      <c r="S438" s="1"/>
      <c r="T438" s="1">
        <v>340</v>
      </c>
      <c r="U438" s="1"/>
      <c r="V438" s="1"/>
      <c r="W438" s="1"/>
      <c r="X438" s="1"/>
      <c r="Y438" s="1"/>
      <c r="Z438" s="1"/>
      <c r="AA438" s="1"/>
      <c r="AB438" s="1"/>
      <c r="AC438" s="1"/>
      <c r="AD438" s="1">
        <v>265</v>
      </c>
      <c r="AE438" s="1"/>
      <c r="AF438" s="1"/>
      <c r="AG438" s="1"/>
      <c r="AH438" s="6"/>
      <c r="AI438" s="1"/>
      <c r="AJ438" s="1"/>
      <c r="AK438" s="1"/>
      <c r="AL438" s="1"/>
      <c r="AM438" s="1"/>
      <c r="AN438" s="1"/>
      <c r="AO438" s="1"/>
      <c r="AP438" s="1"/>
      <c r="AQ438" s="1"/>
      <c r="AR438" s="1"/>
      <c r="AS438" s="1" t="s">
        <v>489</v>
      </c>
      <c r="AT438" s="1" t="s">
        <v>490</v>
      </c>
      <c r="AU438" s="1">
        <v>0.55000000000000004</v>
      </c>
      <c r="AV438" s="1">
        <v>2900</v>
      </c>
      <c r="AW438" s="1">
        <v>585000</v>
      </c>
      <c r="AX438" s="1">
        <v>203000</v>
      </c>
      <c r="AY438" s="1">
        <v>523340.00000000006</v>
      </c>
      <c r="AZ438" s="1">
        <v>0.37</v>
      </c>
      <c r="BA438" s="1">
        <v>25</v>
      </c>
      <c r="BB438" s="1">
        <v>989000.00000000012</v>
      </c>
      <c r="BC438" s="1">
        <v>1130340.0000000002</v>
      </c>
      <c r="BD438" s="1">
        <v>92366</v>
      </c>
      <c r="BE438" s="1">
        <v>340</v>
      </c>
      <c r="BF438" s="1">
        <v>265</v>
      </c>
      <c r="BG438" s="1">
        <v>0.1</v>
      </c>
      <c r="BH438" s="1" t="s">
        <v>481</v>
      </c>
      <c r="BI438" s="1"/>
      <c r="BJ438" s="1">
        <v>20933.600000000002</v>
      </c>
      <c r="BK438" s="1"/>
    </row>
    <row r="439" spans="1:63" ht="16" thickBot="1" x14ac:dyDescent="0.25">
      <c r="A439" s="3">
        <v>439</v>
      </c>
      <c r="B439" s="3" t="s">
        <v>477</v>
      </c>
      <c r="C439" s="3" t="s">
        <v>543</v>
      </c>
      <c r="D439" s="1" t="s">
        <v>478</v>
      </c>
      <c r="E439" s="1"/>
      <c r="F439" s="1"/>
      <c r="G439" s="1" t="s">
        <v>102</v>
      </c>
      <c r="H439" s="1" t="s">
        <v>114</v>
      </c>
      <c r="I439" s="1"/>
      <c r="J439" s="113">
        <f>Table4[[#This Row],[total_cost_npr]]*(1/'Calculations &amp; Assumptions'!$C$6)</f>
        <v>1171240.9545804467</v>
      </c>
      <c r="K439" s="113">
        <f>Table4[[#This Row],[system_cost_npr_per_kwp]]*(1/'Calculations &amp; Assumptions'!$C$6)</f>
        <v>3018.662254073316</v>
      </c>
      <c r="L439" s="23">
        <f>IF(Table4[[#This Row],[total_cost_inr]]&gt;0, Table4[[#This Row],[total_cost_inr]]*'Calculations &amp; Assumptions'!$C$7,IF(Table4[[#This Row],[total_cost_eur]]&gt;0,Table4[[#This Row],[total_cost_eur]]*'Calculations &amp; Assumptions'!$C$5,0))</f>
        <v>152144200.00000003</v>
      </c>
      <c r="M439" s="77">
        <f>IF(H439="smartmeter_1ph",Table4[[#This Row],[total_cost_npr]],Table4[[#This Row],[total_cost_npr]]/Table4[[#This Row],[pv_kWp]])</f>
        <v>392124.22680412378</v>
      </c>
      <c r="N439" s="1"/>
      <c r="O439" s="1">
        <f>Table4[[#This Row],[total_cost_inr]]/Table4[[#This Row],[pv_kWp]]</f>
        <v>0</v>
      </c>
      <c r="P439" s="1">
        <v>1170340.0000000002</v>
      </c>
      <c r="Q439" s="1"/>
      <c r="R439" s="1"/>
      <c r="S439" s="1"/>
      <c r="T439" s="1">
        <v>388</v>
      </c>
      <c r="U439" s="1"/>
      <c r="V439" s="1"/>
      <c r="W439" s="1"/>
      <c r="X439" s="1"/>
      <c r="Y439" s="1"/>
      <c r="Z439" s="1"/>
      <c r="AA439" s="1"/>
      <c r="AB439" s="1"/>
      <c r="AC439" s="1"/>
      <c r="AD439" s="1">
        <v>319</v>
      </c>
      <c r="AE439" s="1"/>
      <c r="AF439" s="1"/>
      <c r="AG439" s="1"/>
      <c r="AH439" s="6"/>
      <c r="AI439" s="1"/>
      <c r="AJ439" s="1"/>
      <c r="AK439" s="1"/>
      <c r="AL439" s="1"/>
      <c r="AM439" s="1"/>
      <c r="AN439" s="1"/>
      <c r="AO439" s="1"/>
      <c r="AP439" s="1"/>
      <c r="AQ439" s="1"/>
      <c r="AR439" s="1"/>
      <c r="AS439" s="1" t="s">
        <v>489</v>
      </c>
      <c r="AT439" s="1" t="s">
        <v>490</v>
      </c>
      <c r="AU439" s="1">
        <v>0.6</v>
      </c>
      <c r="AV439" s="1">
        <v>2900</v>
      </c>
      <c r="AW439" s="1">
        <v>585000</v>
      </c>
      <c r="AX439" s="1">
        <v>203000</v>
      </c>
      <c r="AY439" s="1">
        <v>523340.00000000006</v>
      </c>
      <c r="AZ439" s="1">
        <v>0.37</v>
      </c>
      <c r="BA439" s="1">
        <v>25</v>
      </c>
      <c r="BB439" s="1">
        <v>1029000.0000000001</v>
      </c>
      <c r="BC439" s="1">
        <v>1170340.0000000002</v>
      </c>
      <c r="BD439" s="1">
        <v>83294</v>
      </c>
      <c r="BE439" s="1">
        <v>388</v>
      </c>
      <c r="BF439" s="1">
        <v>319</v>
      </c>
      <c r="BG439" s="1">
        <v>0.1</v>
      </c>
      <c r="BH439" s="1" t="s">
        <v>481</v>
      </c>
      <c r="BI439" s="1"/>
      <c r="BJ439" s="1">
        <v>20933.600000000002</v>
      </c>
      <c r="BK439" s="1"/>
    </row>
    <row r="440" spans="1:63" ht="16" thickBot="1" x14ac:dyDescent="0.25">
      <c r="A440" s="3">
        <v>440</v>
      </c>
      <c r="B440" s="3" t="s">
        <v>477</v>
      </c>
      <c r="C440" s="3" t="s">
        <v>543</v>
      </c>
      <c r="D440" s="1" t="s">
        <v>478</v>
      </c>
      <c r="E440" s="1"/>
      <c r="F440" s="1"/>
      <c r="G440" s="1" t="s">
        <v>102</v>
      </c>
      <c r="H440" s="1" t="s">
        <v>114</v>
      </c>
      <c r="I440" s="1"/>
      <c r="J440" s="113">
        <f>Table4[[#This Row],[total_cost_npr]]*(1/'Calculations &amp; Assumptions'!$C$6)</f>
        <v>1235290.2232486526</v>
      </c>
      <c r="K440" s="113">
        <f>Table4[[#This Row],[system_cost_npr_per_kwp]]*(1/'Calculations &amp; Assumptions'!$C$6)</f>
        <v>2820.2973133530882</v>
      </c>
      <c r="L440" s="23">
        <f>IF(Table4[[#This Row],[total_cost_inr]]&gt;0, Table4[[#This Row],[total_cost_inr]]*'Calculations &amp; Assumptions'!$C$7,IF(Table4[[#This Row],[total_cost_eur]]&gt;0,Table4[[#This Row],[total_cost_eur]]*'Calculations &amp; Assumptions'!$C$5,0))</f>
        <v>160464200</v>
      </c>
      <c r="M440" s="77">
        <f>IF(H440="smartmeter_1ph",Table4[[#This Row],[total_cost_npr]],Table4[[#This Row],[total_cost_npr]]/Table4[[#This Row],[pv_kWp]])</f>
        <v>366356.6210045662</v>
      </c>
      <c r="N440" s="1"/>
      <c r="O440" s="1">
        <f>Table4[[#This Row],[total_cost_inr]]/Table4[[#This Row],[pv_kWp]]</f>
        <v>0</v>
      </c>
      <c r="P440" s="1">
        <v>1234340</v>
      </c>
      <c r="Q440" s="1"/>
      <c r="R440" s="1"/>
      <c r="S440" s="1"/>
      <c r="T440" s="1">
        <v>438</v>
      </c>
      <c r="U440" s="1"/>
      <c r="V440" s="1"/>
      <c r="W440" s="1"/>
      <c r="X440" s="1"/>
      <c r="Y440" s="1"/>
      <c r="Z440" s="1"/>
      <c r="AA440" s="1"/>
      <c r="AB440" s="1"/>
      <c r="AC440" s="1"/>
      <c r="AD440" s="1">
        <v>416</v>
      </c>
      <c r="AE440" s="1"/>
      <c r="AF440" s="1"/>
      <c r="AG440" s="1"/>
      <c r="AH440" s="6"/>
      <c r="AI440" s="1"/>
      <c r="AJ440" s="1"/>
      <c r="AK440" s="1"/>
      <c r="AL440" s="1"/>
      <c r="AM440" s="1"/>
      <c r="AN440" s="1"/>
      <c r="AO440" s="1"/>
      <c r="AP440" s="1"/>
      <c r="AQ440" s="1"/>
      <c r="AR440" s="1"/>
      <c r="AS440" s="1" t="s">
        <v>489</v>
      </c>
      <c r="AT440" s="1" t="s">
        <v>490</v>
      </c>
      <c r="AU440" s="1">
        <v>0.65</v>
      </c>
      <c r="AV440" s="1">
        <v>2900</v>
      </c>
      <c r="AW440" s="1">
        <v>585000</v>
      </c>
      <c r="AX440" s="1">
        <v>203000</v>
      </c>
      <c r="AY440" s="1">
        <v>523340.00000000006</v>
      </c>
      <c r="AZ440" s="1">
        <v>0.37</v>
      </c>
      <c r="BA440" s="1">
        <v>25</v>
      </c>
      <c r="BB440" s="1">
        <v>1093000</v>
      </c>
      <c r="BC440" s="1">
        <v>1234340</v>
      </c>
      <c r="BD440" s="1">
        <v>72538</v>
      </c>
      <c r="BE440" s="1">
        <v>438</v>
      </c>
      <c r="BF440" s="1">
        <v>416</v>
      </c>
      <c r="BG440" s="1">
        <v>0.1</v>
      </c>
      <c r="BH440" s="1" t="s">
        <v>481</v>
      </c>
      <c r="BI440" s="1"/>
      <c r="BJ440" s="1">
        <v>20933.600000000002</v>
      </c>
      <c r="BK440" s="1"/>
    </row>
    <row r="441" spans="1:63" ht="16" thickBot="1" x14ac:dyDescent="0.25">
      <c r="A441" s="3">
        <v>441</v>
      </c>
      <c r="B441" s="3" t="s">
        <v>477</v>
      </c>
      <c r="C441" s="3" t="s">
        <v>543</v>
      </c>
      <c r="D441" s="1" t="s">
        <v>478</v>
      </c>
      <c r="E441" s="1"/>
      <c r="F441" s="1"/>
      <c r="G441" s="1" t="s">
        <v>102</v>
      </c>
      <c r="H441" s="1" t="s">
        <v>114</v>
      </c>
      <c r="I441" s="1"/>
      <c r="J441" s="113">
        <f>Table4[[#This Row],[total_cost_npr]]*(1/'Calculations &amp; Assumptions'!$C$6)</f>
        <v>1302341.8013856814</v>
      </c>
      <c r="K441" s="113">
        <f>Table4[[#This Row],[system_cost_npr_per_kwp]]*(1/'Calculations &amp; Assumptions'!$C$6)</f>
        <v>2747.5565430077668</v>
      </c>
      <c r="L441" s="23">
        <f>IF(Table4[[#This Row],[total_cost_inr]]&gt;0, Table4[[#This Row],[total_cost_inr]]*'Calculations &amp; Assumptions'!$C$7,IF(Table4[[#This Row],[total_cost_eur]]&gt;0,Table4[[#This Row],[total_cost_eur]]*'Calculations &amp; Assumptions'!$C$5,0))</f>
        <v>169174200.00000003</v>
      </c>
      <c r="M441" s="77">
        <f>IF(H441="smartmeter_1ph",Table4[[#This Row],[total_cost_npr]],Table4[[#This Row],[total_cost_npr]]/Table4[[#This Row],[pv_kWp]])</f>
        <v>356907.59493670892</v>
      </c>
      <c r="N441" s="1"/>
      <c r="O441" s="1">
        <f>Table4[[#This Row],[total_cost_inr]]/Table4[[#This Row],[pv_kWp]]</f>
        <v>0</v>
      </c>
      <c r="P441" s="1">
        <v>1301340.0000000002</v>
      </c>
      <c r="Q441" s="1"/>
      <c r="R441" s="1"/>
      <c r="S441" s="1"/>
      <c r="T441" s="1">
        <v>474</v>
      </c>
      <c r="U441" s="1"/>
      <c r="V441" s="1"/>
      <c r="W441" s="1"/>
      <c r="X441" s="1"/>
      <c r="Y441" s="1"/>
      <c r="Z441" s="1"/>
      <c r="AA441" s="1"/>
      <c r="AB441" s="1"/>
      <c r="AC441" s="1"/>
      <c r="AD441" s="1">
        <v>521</v>
      </c>
      <c r="AE441" s="1"/>
      <c r="AF441" s="1"/>
      <c r="AG441" s="1"/>
      <c r="AH441" s="6"/>
      <c r="AI441" s="1"/>
      <c r="AJ441" s="1"/>
      <c r="AK441" s="1"/>
      <c r="AL441" s="1"/>
      <c r="AM441" s="1"/>
      <c r="AN441" s="1"/>
      <c r="AO441" s="1"/>
      <c r="AP441" s="1"/>
      <c r="AQ441" s="1"/>
      <c r="AR441" s="1"/>
      <c r="AS441" s="1" t="s">
        <v>489</v>
      </c>
      <c r="AT441" s="1" t="s">
        <v>490</v>
      </c>
      <c r="AU441" s="1">
        <v>0.7</v>
      </c>
      <c r="AV441" s="1">
        <v>2900</v>
      </c>
      <c r="AW441" s="1">
        <v>585000</v>
      </c>
      <c r="AX441" s="1">
        <v>203000</v>
      </c>
      <c r="AY441" s="1">
        <v>523340.00000000006</v>
      </c>
      <c r="AZ441" s="1">
        <v>0.37</v>
      </c>
      <c r="BA441" s="1">
        <v>25</v>
      </c>
      <c r="BB441" s="1">
        <v>1160000.0000000002</v>
      </c>
      <c r="BC441" s="1">
        <v>1301340.0000000002</v>
      </c>
      <c r="BD441" s="1">
        <v>63303</v>
      </c>
      <c r="BE441" s="1">
        <v>474</v>
      </c>
      <c r="BF441" s="1">
        <v>521</v>
      </c>
      <c r="BG441" s="1">
        <v>0.1</v>
      </c>
      <c r="BH441" s="1" t="s">
        <v>481</v>
      </c>
      <c r="BI441" s="1"/>
      <c r="BJ441" s="1">
        <v>20933.600000000002</v>
      </c>
      <c r="BK441" s="1"/>
    </row>
    <row r="442" spans="1:63" ht="16" thickBot="1" x14ac:dyDescent="0.25">
      <c r="A442" s="3">
        <v>442</v>
      </c>
      <c r="B442" s="3" t="s">
        <v>477</v>
      </c>
      <c r="C442" s="3" t="s">
        <v>543</v>
      </c>
      <c r="D442" s="1" t="s">
        <v>478</v>
      </c>
      <c r="E442" s="1"/>
      <c r="F442" s="1"/>
      <c r="G442" s="1" t="s">
        <v>102</v>
      </c>
      <c r="H442" s="1" t="s">
        <v>114</v>
      </c>
      <c r="I442" s="1"/>
      <c r="J442" s="113">
        <f>Table4[[#This Row],[total_cost_npr]]*(1/'Calculations &amp; Assumptions'!$C$6)</f>
        <v>1370394.1493456503</v>
      </c>
      <c r="K442" s="113">
        <f>Table4[[#This Row],[system_cost_npr_per_kwp]]*(1/'Calculations &amp; Assumptions'!$C$6)</f>
        <v>2713.651780882476</v>
      </c>
      <c r="L442" s="23">
        <f>IF(Table4[[#This Row],[total_cost_inr]]&gt;0, Table4[[#This Row],[total_cost_inr]]*'Calculations &amp; Assumptions'!$C$7,IF(Table4[[#This Row],[total_cost_eur]]&gt;0,Table4[[#This Row],[total_cost_eur]]*'Calculations &amp; Assumptions'!$C$5,0))</f>
        <v>178014200</v>
      </c>
      <c r="M442" s="77">
        <f>IF(H442="smartmeter_1ph",Table4[[#This Row],[total_cost_npr]],Table4[[#This Row],[total_cost_npr]]/Table4[[#This Row],[pv_kWp]])</f>
        <v>352503.36633663368</v>
      </c>
      <c r="N442" s="1"/>
      <c r="O442" s="1">
        <f>Table4[[#This Row],[total_cost_inr]]/Table4[[#This Row],[pv_kWp]]</f>
        <v>0</v>
      </c>
      <c r="P442" s="1">
        <v>1369340</v>
      </c>
      <c r="Q442" s="1"/>
      <c r="R442" s="1"/>
      <c r="S442" s="1"/>
      <c r="T442" s="1">
        <v>505</v>
      </c>
      <c r="U442" s="1"/>
      <c r="V442" s="1"/>
      <c r="W442" s="1"/>
      <c r="X442" s="1"/>
      <c r="Y442" s="1"/>
      <c r="Z442" s="1"/>
      <c r="AA442" s="1"/>
      <c r="AB442" s="1"/>
      <c r="AC442" s="1"/>
      <c r="AD442" s="1">
        <v>650</v>
      </c>
      <c r="AE442" s="1"/>
      <c r="AF442" s="1"/>
      <c r="AG442" s="1"/>
      <c r="AH442" s="6"/>
      <c r="AI442" s="1"/>
      <c r="AJ442" s="1"/>
      <c r="AK442" s="1"/>
      <c r="AL442" s="1"/>
      <c r="AM442" s="1"/>
      <c r="AN442" s="1"/>
      <c r="AO442" s="1"/>
      <c r="AP442" s="1"/>
      <c r="AQ442" s="1"/>
      <c r="AR442" s="1"/>
      <c r="AS442" s="1" t="s">
        <v>489</v>
      </c>
      <c r="AT442" s="1" t="s">
        <v>490</v>
      </c>
      <c r="AU442" s="1">
        <v>0.75</v>
      </c>
      <c r="AV442" s="1">
        <v>2900</v>
      </c>
      <c r="AW442" s="1">
        <v>585000</v>
      </c>
      <c r="AX442" s="1">
        <v>203000</v>
      </c>
      <c r="AY442" s="1">
        <v>523340.00000000006</v>
      </c>
      <c r="AZ442" s="1">
        <v>0.37</v>
      </c>
      <c r="BA442" s="1">
        <v>25</v>
      </c>
      <c r="BB442" s="1">
        <v>1228000</v>
      </c>
      <c r="BC442" s="1">
        <v>1369340</v>
      </c>
      <c r="BD442" s="1">
        <v>53255</v>
      </c>
      <c r="BE442" s="1">
        <v>505</v>
      </c>
      <c r="BF442" s="1">
        <v>650</v>
      </c>
      <c r="BG442" s="1">
        <v>0.1</v>
      </c>
      <c r="BH442" s="1" t="s">
        <v>481</v>
      </c>
      <c r="BI442" s="1"/>
      <c r="BJ442" s="1">
        <v>20933.600000000002</v>
      </c>
      <c r="BK442" s="1"/>
    </row>
    <row r="443" spans="1:63" ht="16" thickBot="1" x14ac:dyDescent="0.25">
      <c r="A443" s="3">
        <v>443</v>
      </c>
      <c r="B443" s="3" t="s">
        <v>477</v>
      </c>
      <c r="C443" s="3" t="s">
        <v>543</v>
      </c>
      <c r="D443" s="1" t="s">
        <v>478</v>
      </c>
      <c r="E443" s="1"/>
      <c r="F443" s="1"/>
      <c r="G443" s="1" t="s">
        <v>102</v>
      </c>
      <c r="H443" s="1" t="s">
        <v>114</v>
      </c>
      <c r="I443" s="1"/>
      <c r="J443" s="113">
        <f>Table4[[#This Row],[total_cost_npr]]*(1/'Calculations &amp; Assumptions'!$C$6)</f>
        <v>1430440.3387220935</v>
      </c>
      <c r="K443" s="113">
        <f>Table4[[#This Row],[system_cost_npr_per_kwp]]*(1/'Calculations &amp; Assumptions'!$C$6)</f>
        <v>2735.067569258305</v>
      </c>
      <c r="L443" s="23">
        <f>IF(Table4[[#This Row],[total_cost_inr]]&gt;0, Table4[[#This Row],[total_cost_inr]]*'Calculations &amp; Assumptions'!$C$7,IF(Table4[[#This Row],[total_cost_eur]]&gt;0,Table4[[#This Row],[total_cost_eur]]*'Calculations &amp; Assumptions'!$C$5,0))</f>
        <v>185814199.99999997</v>
      </c>
      <c r="M443" s="77">
        <f>IF(H443="smartmeter_1ph",Table4[[#This Row],[total_cost_npr]],Table4[[#This Row],[total_cost_npr]]/Table4[[#This Row],[pv_kWp]])</f>
        <v>355285.27724665386</v>
      </c>
      <c r="N443" s="1"/>
      <c r="O443" s="1">
        <f>Table4[[#This Row],[total_cost_inr]]/Table4[[#This Row],[pv_kWp]]</f>
        <v>0</v>
      </c>
      <c r="P443" s="1">
        <v>1429339.9999999998</v>
      </c>
      <c r="Q443" s="1"/>
      <c r="R443" s="1"/>
      <c r="S443" s="1"/>
      <c r="T443" s="1">
        <v>523</v>
      </c>
      <c r="U443" s="1"/>
      <c r="V443" s="1"/>
      <c r="W443" s="1"/>
      <c r="X443" s="1"/>
      <c r="Y443" s="1"/>
      <c r="Z443" s="1"/>
      <c r="AA443" s="1"/>
      <c r="AB443" s="1"/>
      <c r="AC443" s="1"/>
      <c r="AD443" s="1">
        <v>791</v>
      </c>
      <c r="AE443" s="1"/>
      <c r="AF443" s="1"/>
      <c r="AG443" s="1"/>
      <c r="AH443" s="6"/>
      <c r="AI443" s="1"/>
      <c r="AJ443" s="1"/>
      <c r="AK443" s="1"/>
      <c r="AL443" s="1"/>
      <c r="AM443" s="1"/>
      <c r="AN443" s="1"/>
      <c r="AO443" s="1"/>
      <c r="AP443" s="1"/>
      <c r="AQ443" s="1"/>
      <c r="AR443" s="1"/>
      <c r="AS443" s="1" t="s">
        <v>489</v>
      </c>
      <c r="AT443" s="1" t="s">
        <v>490</v>
      </c>
      <c r="AU443" s="1">
        <v>0.8</v>
      </c>
      <c r="AV443" s="1">
        <v>2900</v>
      </c>
      <c r="AW443" s="1">
        <v>585000</v>
      </c>
      <c r="AX443" s="1">
        <v>203000</v>
      </c>
      <c r="AY443" s="1">
        <v>523340.00000000006</v>
      </c>
      <c r="AZ443" s="1">
        <v>0.37</v>
      </c>
      <c r="BA443" s="1">
        <v>25</v>
      </c>
      <c r="BB443" s="1">
        <v>1287999.9999999998</v>
      </c>
      <c r="BC443" s="1">
        <v>1429339.9999999998</v>
      </c>
      <c r="BD443" s="1">
        <v>43221</v>
      </c>
      <c r="BE443" s="1">
        <v>523</v>
      </c>
      <c r="BF443" s="1">
        <v>791</v>
      </c>
      <c r="BG443" s="1">
        <v>0.1</v>
      </c>
      <c r="BH443" s="1" t="s">
        <v>481</v>
      </c>
      <c r="BI443" s="1"/>
      <c r="BJ443" s="1">
        <v>20933.600000000002</v>
      </c>
      <c r="BK443" s="1"/>
    </row>
    <row r="444" spans="1:63" ht="16" thickBot="1" x14ac:dyDescent="0.25">
      <c r="A444" s="3">
        <v>444</v>
      </c>
      <c r="B444" s="3" t="s">
        <v>477</v>
      </c>
      <c r="C444" s="3" t="s">
        <v>543</v>
      </c>
      <c r="D444" s="1" t="s">
        <v>478</v>
      </c>
      <c r="E444" s="1"/>
      <c r="F444" s="1"/>
      <c r="G444" s="1" t="s">
        <v>102</v>
      </c>
      <c r="H444" s="1" t="s">
        <v>114</v>
      </c>
      <c r="I444" s="1"/>
      <c r="J444" s="113">
        <f>Table4[[#This Row],[total_cost_npr]]*(1/'Calculations &amp; Assumptions'!$C$6)</f>
        <v>1518508.0831408775</v>
      </c>
      <c r="K444" s="113">
        <f>Table4[[#This Row],[system_cost_npr_per_kwp]]*(1/'Calculations &amp; Assumptions'!$C$6)</f>
        <v>2692.3902183348891</v>
      </c>
      <c r="L444" s="23">
        <f>IF(Table4[[#This Row],[total_cost_inr]]&gt;0, Table4[[#This Row],[total_cost_inr]]*'Calculations &amp; Assumptions'!$C$7,IF(Table4[[#This Row],[total_cost_eur]]&gt;0,Table4[[#This Row],[total_cost_eur]]*'Calculations &amp; Assumptions'!$C$5,0))</f>
        <v>197254200</v>
      </c>
      <c r="M444" s="77">
        <f>IF(H444="smartmeter_1ph",Table4[[#This Row],[total_cost_npr]],Table4[[#This Row],[total_cost_npr]]/Table4[[#This Row],[pv_kWp]])</f>
        <v>349741.48936170212</v>
      </c>
      <c r="N444" s="1"/>
      <c r="O444" s="1">
        <f>Table4[[#This Row],[total_cost_inr]]/Table4[[#This Row],[pv_kWp]]</f>
        <v>0</v>
      </c>
      <c r="P444" s="1">
        <v>1517340</v>
      </c>
      <c r="Q444" s="1"/>
      <c r="R444" s="1"/>
      <c r="S444" s="1"/>
      <c r="T444" s="1">
        <v>564</v>
      </c>
      <c r="U444" s="1"/>
      <c r="V444" s="1"/>
      <c r="W444" s="1"/>
      <c r="X444" s="1"/>
      <c r="Y444" s="1"/>
      <c r="Z444" s="1"/>
      <c r="AA444" s="1"/>
      <c r="AB444" s="1"/>
      <c r="AC444" s="1"/>
      <c r="AD444" s="1">
        <v>995</v>
      </c>
      <c r="AE444" s="1"/>
      <c r="AF444" s="1"/>
      <c r="AG444" s="1"/>
      <c r="AH444" s="6"/>
      <c r="AI444" s="1"/>
      <c r="AJ444" s="1"/>
      <c r="AK444" s="1"/>
      <c r="AL444" s="1"/>
      <c r="AM444" s="1"/>
      <c r="AN444" s="1"/>
      <c r="AO444" s="1"/>
      <c r="AP444" s="1"/>
      <c r="AQ444" s="1"/>
      <c r="AR444" s="1"/>
      <c r="AS444" s="1" t="s">
        <v>489</v>
      </c>
      <c r="AT444" s="1" t="s">
        <v>490</v>
      </c>
      <c r="AU444" s="1">
        <v>0.85</v>
      </c>
      <c r="AV444" s="1">
        <v>2900</v>
      </c>
      <c r="AW444" s="1">
        <v>585000</v>
      </c>
      <c r="AX444" s="1">
        <v>203000</v>
      </c>
      <c r="AY444" s="1">
        <v>523340.00000000006</v>
      </c>
      <c r="AZ444" s="1">
        <v>0.37</v>
      </c>
      <c r="BA444" s="1">
        <v>25</v>
      </c>
      <c r="BB444" s="1">
        <v>1376000</v>
      </c>
      <c r="BC444" s="1">
        <v>1517340</v>
      </c>
      <c r="BD444" s="1">
        <v>28003</v>
      </c>
      <c r="BE444" s="1">
        <v>564</v>
      </c>
      <c r="BF444" s="1">
        <v>995</v>
      </c>
      <c r="BG444" s="1">
        <v>0.1</v>
      </c>
      <c r="BH444" s="1" t="s">
        <v>481</v>
      </c>
      <c r="BI444" s="1"/>
      <c r="BJ444" s="1">
        <v>20933.600000000002</v>
      </c>
      <c r="BK444" s="1"/>
    </row>
    <row r="445" spans="1:63" ht="16" thickBot="1" x14ac:dyDescent="0.25">
      <c r="A445" s="3">
        <v>445</v>
      </c>
      <c r="B445" s="3" t="s">
        <v>477</v>
      </c>
      <c r="C445" s="3" t="s">
        <v>543</v>
      </c>
      <c r="D445" s="1" t="s">
        <v>478</v>
      </c>
      <c r="E445" s="1"/>
      <c r="F445" s="1"/>
      <c r="G445" s="1" t="s">
        <v>102</v>
      </c>
      <c r="H445" s="1" t="s">
        <v>114</v>
      </c>
      <c r="I445" s="1"/>
      <c r="J445" s="113">
        <f>Table4[[#This Row],[total_cost_npr]]*(1/'Calculations &amp; Assumptions'!$C$6)</f>
        <v>1587561.2009237874</v>
      </c>
      <c r="K445" s="113">
        <f>Table4[[#This Row],[system_cost_npr_per_kwp]]*(1/'Calculations &amp; Assumptions'!$C$6)</f>
        <v>2619.7379553197811</v>
      </c>
      <c r="L445" s="23">
        <f>IF(Table4[[#This Row],[total_cost_inr]]&gt;0, Table4[[#This Row],[total_cost_inr]]*'Calculations &amp; Assumptions'!$C$7,IF(Table4[[#This Row],[total_cost_eur]]&gt;0,Table4[[#This Row],[total_cost_eur]]*'Calculations &amp; Assumptions'!$C$5,0))</f>
        <v>206224200</v>
      </c>
      <c r="M445" s="77">
        <f>IF(H445="smartmeter_1ph",Table4[[#This Row],[total_cost_npr]],Table4[[#This Row],[total_cost_npr]]/Table4[[#This Row],[pv_kWp]])</f>
        <v>340303.96039603959</v>
      </c>
      <c r="N445" s="1"/>
      <c r="O445" s="1">
        <f>Table4[[#This Row],[total_cost_inr]]/Table4[[#This Row],[pv_kWp]]</f>
        <v>0</v>
      </c>
      <c r="P445" s="1">
        <v>1586340</v>
      </c>
      <c r="Q445" s="1"/>
      <c r="R445" s="1"/>
      <c r="S445" s="1"/>
      <c r="T445" s="1">
        <v>606</v>
      </c>
      <c r="U445" s="1"/>
      <c r="V445" s="1"/>
      <c r="W445" s="1"/>
      <c r="X445" s="1"/>
      <c r="Y445" s="1"/>
      <c r="Z445" s="1"/>
      <c r="AA445" s="1"/>
      <c r="AB445" s="1"/>
      <c r="AC445" s="1"/>
      <c r="AD445" s="1">
        <v>1064</v>
      </c>
      <c r="AE445" s="1"/>
      <c r="AF445" s="1"/>
      <c r="AG445" s="1"/>
      <c r="AH445" s="6"/>
      <c r="AI445" s="1"/>
      <c r="AJ445" s="1"/>
      <c r="AK445" s="1"/>
      <c r="AL445" s="1"/>
      <c r="AM445" s="1"/>
      <c r="AN445" s="1"/>
      <c r="AO445" s="1"/>
      <c r="AP445" s="1"/>
      <c r="AQ445" s="1"/>
      <c r="AR445" s="1"/>
      <c r="AS445" s="1" t="s">
        <v>489</v>
      </c>
      <c r="AT445" s="1" t="s">
        <v>490</v>
      </c>
      <c r="AU445" s="1">
        <v>0.9</v>
      </c>
      <c r="AV445" s="1">
        <v>2900</v>
      </c>
      <c r="AW445" s="1">
        <v>585000</v>
      </c>
      <c r="AX445" s="1">
        <v>203000</v>
      </c>
      <c r="AY445" s="1">
        <v>523340.00000000006</v>
      </c>
      <c r="AZ445" s="1">
        <v>0.37</v>
      </c>
      <c r="BA445" s="1">
        <v>25</v>
      </c>
      <c r="BB445" s="1">
        <v>1445000</v>
      </c>
      <c r="BC445" s="1">
        <v>1586340</v>
      </c>
      <c r="BD445" s="1">
        <v>21760</v>
      </c>
      <c r="BE445" s="1">
        <v>606</v>
      </c>
      <c r="BF445" s="1">
        <v>1064</v>
      </c>
      <c r="BG445" s="1">
        <v>0.1</v>
      </c>
      <c r="BH445" s="1" t="s">
        <v>481</v>
      </c>
      <c r="BI445" s="1"/>
      <c r="BJ445" s="1">
        <v>20933.600000000002</v>
      </c>
      <c r="BK445" s="1"/>
    </row>
    <row r="446" spans="1:63" ht="16" thickBot="1" x14ac:dyDescent="0.25">
      <c r="A446" s="3">
        <v>446</v>
      </c>
      <c r="B446" s="3" t="s">
        <v>477</v>
      </c>
      <c r="C446" s="3" t="s">
        <v>543</v>
      </c>
      <c r="D446" s="1" t="s">
        <v>478</v>
      </c>
      <c r="E446" s="1"/>
      <c r="F446" s="1"/>
      <c r="G446" s="1" t="s">
        <v>102</v>
      </c>
      <c r="H446" s="1" t="s">
        <v>114</v>
      </c>
      <c r="I446" s="1"/>
      <c r="J446" s="113">
        <f>Table4[[#This Row],[total_cost_npr]]*(1/'Calculations &amp; Assumptions'!$C$6)</f>
        <v>710941.87836797535</v>
      </c>
      <c r="K446" s="113">
        <f>Table4[[#This Row],[system_cost_npr_per_kwp]]*(1/'Calculations &amp; Assumptions'!$C$6)</f>
        <v>22216.93369899923</v>
      </c>
      <c r="L446" s="23">
        <f>IF(Table4[[#This Row],[total_cost_inr]]&gt;0, Table4[[#This Row],[total_cost_inr]]*'Calculations &amp; Assumptions'!$C$7,IF(Table4[[#This Row],[total_cost_eur]]&gt;0,Table4[[#This Row],[total_cost_eur]]*'Calculations &amp; Assumptions'!$C$5,0))</f>
        <v>92351350</v>
      </c>
      <c r="M446" s="77">
        <f>IF(H446="smartmeter_1ph",Table4[[#This Row],[total_cost_npr]],Table4[[#This Row],[total_cost_npr]]/Table4[[#This Row],[pv_kWp]])</f>
        <v>2885979.6875</v>
      </c>
      <c r="N446" s="1"/>
      <c r="O446" s="1">
        <f>Table4[[#This Row],[total_cost_inr]]/Table4[[#This Row],[pv_kWp]]</f>
        <v>0</v>
      </c>
      <c r="P446" s="1">
        <v>710395</v>
      </c>
      <c r="Q446" s="1"/>
      <c r="R446" s="1"/>
      <c r="S446" s="1"/>
      <c r="T446" s="1">
        <v>32</v>
      </c>
      <c r="U446" s="1"/>
      <c r="V446" s="1"/>
      <c r="W446" s="1"/>
      <c r="X446" s="1"/>
      <c r="Y446" s="1"/>
      <c r="Z446" s="1"/>
      <c r="AA446" s="1"/>
      <c r="AB446" s="1"/>
      <c r="AC446" s="1"/>
      <c r="AD446" s="1">
        <v>5</v>
      </c>
      <c r="AE446" s="1"/>
      <c r="AF446" s="1"/>
      <c r="AG446" s="1"/>
      <c r="AH446" s="6"/>
      <c r="AI446" s="1"/>
      <c r="AJ446" s="1"/>
      <c r="AK446" s="1"/>
      <c r="AL446" s="1"/>
      <c r="AM446" s="1"/>
      <c r="AN446" s="1"/>
      <c r="AO446" s="1"/>
      <c r="AP446" s="1"/>
      <c r="AQ446" s="1"/>
      <c r="AR446" s="1"/>
      <c r="AS446" s="1" t="s">
        <v>491</v>
      </c>
      <c r="AT446" s="1" t="s">
        <v>492</v>
      </c>
      <c r="AU446" s="1">
        <v>0.1</v>
      </c>
      <c r="AV446" s="1">
        <v>2015</v>
      </c>
      <c r="AW446" s="1">
        <v>515000</v>
      </c>
      <c r="AX446" s="1">
        <v>141050</v>
      </c>
      <c r="AY446" s="1">
        <v>411345.00000000006</v>
      </c>
      <c r="AZ446" s="1">
        <v>0.1</v>
      </c>
      <c r="BA446" s="1">
        <v>22</v>
      </c>
      <c r="BB446" s="1">
        <v>673000</v>
      </c>
      <c r="BC446" s="1">
        <v>710395</v>
      </c>
      <c r="BD446" s="1">
        <v>124240</v>
      </c>
      <c r="BE446" s="1">
        <v>32</v>
      </c>
      <c r="BF446" s="1">
        <v>5</v>
      </c>
      <c r="BG446" s="1">
        <v>0.16</v>
      </c>
      <c r="BH446" s="1" t="s">
        <v>483</v>
      </c>
      <c r="BI446" s="1"/>
      <c r="BJ446" s="1">
        <v>18697.500000000004</v>
      </c>
      <c r="BK446" s="1"/>
    </row>
    <row r="447" spans="1:63" ht="16" thickBot="1" x14ac:dyDescent="0.25">
      <c r="A447" s="3">
        <v>447</v>
      </c>
      <c r="B447" s="3" t="s">
        <v>477</v>
      </c>
      <c r="C447" s="3" t="s">
        <v>543</v>
      </c>
      <c r="D447" s="1" t="s">
        <v>478</v>
      </c>
      <c r="E447" s="1"/>
      <c r="F447" s="1"/>
      <c r="G447" s="1" t="s">
        <v>102</v>
      </c>
      <c r="H447" s="1" t="s">
        <v>114</v>
      </c>
      <c r="I447" s="1"/>
      <c r="J447" s="113">
        <f>Table4[[#This Row],[total_cost_npr]]*(1/'Calculations &amp; Assumptions'!$C$6)</f>
        <v>716946.49730561965</v>
      </c>
      <c r="K447" s="113">
        <f>Table4[[#This Row],[system_cost_npr_per_kwp]]*(1/'Calculations &amp; Assumptions'!$C$6)</f>
        <v>15254.180793736588</v>
      </c>
      <c r="L447" s="23">
        <f>IF(Table4[[#This Row],[total_cost_inr]]&gt;0, Table4[[#This Row],[total_cost_inr]]*'Calculations &amp; Assumptions'!$C$7,IF(Table4[[#This Row],[total_cost_eur]]&gt;0,Table4[[#This Row],[total_cost_eur]]*'Calculations &amp; Assumptions'!$C$5,0))</f>
        <v>93131350</v>
      </c>
      <c r="M447" s="77">
        <f>IF(H447="smartmeter_1ph",Table4[[#This Row],[total_cost_npr]],Table4[[#This Row],[total_cost_npr]]/Table4[[#This Row],[pv_kWp]])</f>
        <v>1981518.0851063831</v>
      </c>
      <c r="N447" s="1"/>
      <c r="O447" s="1">
        <f>Table4[[#This Row],[total_cost_inr]]/Table4[[#This Row],[pv_kWp]]</f>
        <v>0</v>
      </c>
      <c r="P447" s="1">
        <v>716395</v>
      </c>
      <c r="Q447" s="1"/>
      <c r="R447" s="1"/>
      <c r="S447" s="1"/>
      <c r="T447" s="1">
        <v>47</v>
      </c>
      <c r="U447" s="1"/>
      <c r="V447" s="1"/>
      <c r="W447" s="1"/>
      <c r="X447" s="1"/>
      <c r="Y447" s="1"/>
      <c r="Z447" s="1"/>
      <c r="AA447" s="1"/>
      <c r="AB447" s="1"/>
      <c r="AC447" s="1"/>
      <c r="AD447" s="1">
        <v>5</v>
      </c>
      <c r="AE447" s="1"/>
      <c r="AF447" s="1"/>
      <c r="AG447" s="1"/>
      <c r="AH447" s="6"/>
      <c r="AI447" s="1"/>
      <c r="AJ447" s="1"/>
      <c r="AK447" s="1"/>
      <c r="AL447" s="1"/>
      <c r="AM447" s="1"/>
      <c r="AN447" s="1"/>
      <c r="AO447" s="1"/>
      <c r="AP447" s="1"/>
      <c r="AQ447" s="1"/>
      <c r="AR447" s="1"/>
      <c r="AS447" s="1" t="s">
        <v>491</v>
      </c>
      <c r="AT447" s="1" t="s">
        <v>492</v>
      </c>
      <c r="AU447" s="1">
        <v>0.15</v>
      </c>
      <c r="AV447" s="1">
        <v>2015</v>
      </c>
      <c r="AW447" s="1">
        <v>515000</v>
      </c>
      <c r="AX447" s="1">
        <v>141050</v>
      </c>
      <c r="AY447" s="1">
        <v>411345.00000000006</v>
      </c>
      <c r="AZ447" s="1">
        <v>0.1</v>
      </c>
      <c r="BA447" s="1">
        <v>22</v>
      </c>
      <c r="BB447" s="1">
        <v>679000</v>
      </c>
      <c r="BC447" s="1">
        <v>716395</v>
      </c>
      <c r="BD447" s="1">
        <v>118564</v>
      </c>
      <c r="BE447" s="1">
        <v>47</v>
      </c>
      <c r="BF447" s="1">
        <v>5</v>
      </c>
      <c r="BG447" s="1">
        <v>0.16</v>
      </c>
      <c r="BH447" s="1" t="s">
        <v>483</v>
      </c>
      <c r="BI447" s="1"/>
      <c r="BJ447" s="1">
        <v>18697.500000000004</v>
      </c>
      <c r="BK447" s="1"/>
    </row>
    <row r="448" spans="1:63" ht="16" thickBot="1" x14ac:dyDescent="0.25">
      <c r="A448" s="3">
        <v>448</v>
      </c>
      <c r="B448" s="3" t="s">
        <v>477</v>
      </c>
      <c r="C448" s="3" t="s">
        <v>543</v>
      </c>
      <c r="D448" s="1" t="s">
        <v>478</v>
      </c>
      <c r="E448" s="1"/>
      <c r="F448" s="1"/>
      <c r="G448" s="1" t="s">
        <v>102</v>
      </c>
      <c r="H448" s="1" t="s">
        <v>114</v>
      </c>
      <c r="I448" s="1"/>
      <c r="J448" s="113">
        <f>Table4[[#This Row],[total_cost_npr]]*(1/'Calculations &amp; Assumptions'!$C$6)</f>
        <v>723951.88606620475</v>
      </c>
      <c r="K448" s="113">
        <f>Table4[[#This Row],[system_cost_npr_per_kwp]]*(1/'Calculations &amp; Assumptions'!$C$6)</f>
        <v>11137.721324095457</v>
      </c>
      <c r="L448" s="23">
        <f>IF(Table4[[#This Row],[total_cost_inr]]&gt;0, Table4[[#This Row],[total_cost_inr]]*'Calculations &amp; Assumptions'!$C$7,IF(Table4[[#This Row],[total_cost_eur]]&gt;0,Table4[[#This Row],[total_cost_eur]]*'Calculations &amp; Assumptions'!$C$5,0))</f>
        <v>94041350</v>
      </c>
      <c r="M448" s="77">
        <f>IF(H448="smartmeter_1ph",Table4[[#This Row],[total_cost_npr]],Table4[[#This Row],[total_cost_npr]]/Table4[[#This Row],[pv_kWp]])</f>
        <v>1446790</v>
      </c>
      <c r="N448" s="1"/>
      <c r="O448" s="1">
        <f>Table4[[#This Row],[total_cost_inr]]/Table4[[#This Row],[pv_kWp]]</f>
        <v>0</v>
      </c>
      <c r="P448" s="1">
        <v>723395</v>
      </c>
      <c r="Q448" s="1"/>
      <c r="R448" s="1"/>
      <c r="S448" s="1"/>
      <c r="T448" s="1">
        <v>65</v>
      </c>
      <c r="U448" s="1"/>
      <c r="V448" s="1"/>
      <c r="W448" s="1"/>
      <c r="X448" s="1"/>
      <c r="Y448" s="1"/>
      <c r="Z448" s="1"/>
      <c r="AA448" s="1"/>
      <c r="AB448" s="1"/>
      <c r="AC448" s="1"/>
      <c r="AD448" s="1">
        <v>5</v>
      </c>
      <c r="AE448" s="1"/>
      <c r="AF448" s="1"/>
      <c r="AG448" s="1"/>
      <c r="AH448" s="6"/>
      <c r="AI448" s="1"/>
      <c r="AJ448" s="1"/>
      <c r="AK448" s="1"/>
      <c r="AL448" s="1"/>
      <c r="AM448" s="1"/>
      <c r="AN448" s="1"/>
      <c r="AO448" s="1"/>
      <c r="AP448" s="1"/>
      <c r="AQ448" s="1"/>
      <c r="AR448" s="1"/>
      <c r="AS448" s="1" t="s">
        <v>491</v>
      </c>
      <c r="AT448" s="1" t="s">
        <v>492</v>
      </c>
      <c r="AU448" s="1">
        <v>0.2</v>
      </c>
      <c r="AV448" s="1">
        <v>2015</v>
      </c>
      <c r="AW448" s="1">
        <v>515000</v>
      </c>
      <c r="AX448" s="1">
        <v>141050</v>
      </c>
      <c r="AY448" s="1">
        <v>411345.00000000006</v>
      </c>
      <c r="AZ448" s="1">
        <v>0.1</v>
      </c>
      <c r="BA448" s="1">
        <v>22</v>
      </c>
      <c r="BB448" s="1">
        <v>686000</v>
      </c>
      <c r="BC448" s="1">
        <v>723395</v>
      </c>
      <c r="BD448" s="1">
        <v>112843</v>
      </c>
      <c r="BE448" s="1">
        <v>65</v>
      </c>
      <c r="BF448" s="1">
        <v>5</v>
      </c>
      <c r="BG448" s="1">
        <v>0.16</v>
      </c>
      <c r="BH448" s="1" t="s">
        <v>483</v>
      </c>
      <c r="BI448" s="1"/>
      <c r="BJ448" s="1">
        <v>18697.500000000004</v>
      </c>
      <c r="BK448" s="1"/>
    </row>
    <row r="449" spans="1:63" ht="16" thickBot="1" x14ac:dyDescent="0.25">
      <c r="A449" s="3">
        <v>449</v>
      </c>
      <c r="B449" s="3" t="s">
        <v>477</v>
      </c>
      <c r="C449" s="3" t="s">
        <v>543</v>
      </c>
      <c r="D449" s="1" t="s">
        <v>478</v>
      </c>
      <c r="E449" s="1"/>
      <c r="F449" s="1"/>
      <c r="G449" s="1" t="s">
        <v>102</v>
      </c>
      <c r="H449" s="1" t="s">
        <v>114</v>
      </c>
      <c r="I449" s="1"/>
      <c r="J449" s="113">
        <f>Table4[[#This Row],[total_cost_npr]]*(1/'Calculations &amp; Assumptions'!$C$6)</f>
        <v>743967.28252501914</v>
      </c>
      <c r="K449" s="113">
        <f>Table4[[#This Row],[system_cost_npr_per_kwp]]*(1/'Calculations &amp; Assumptions'!$C$6)</f>
        <v>7831.2345528949381</v>
      </c>
      <c r="L449" s="23">
        <f>IF(Table4[[#This Row],[total_cost_inr]]&gt;0, Table4[[#This Row],[total_cost_inr]]*'Calculations &amp; Assumptions'!$C$7,IF(Table4[[#This Row],[total_cost_eur]]&gt;0,Table4[[#This Row],[total_cost_eur]]*'Calculations &amp; Assumptions'!$C$5,0))</f>
        <v>96641350</v>
      </c>
      <c r="M449" s="77">
        <f>IF(H449="smartmeter_1ph",Table4[[#This Row],[total_cost_npr]],Table4[[#This Row],[total_cost_npr]]/Table4[[#This Row],[pv_kWp]])</f>
        <v>1017277.3684210526</v>
      </c>
      <c r="N449" s="1"/>
      <c r="O449" s="1">
        <f>Table4[[#This Row],[total_cost_inr]]/Table4[[#This Row],[pv_kWp]]</f>
        <v>0</v>
      </c>
      <c r="P449" s="1">
        <v>743395</v>
      </c>
      <c r="Q449" s="1"/>
      <c r="R449" s="1"/>
      <c r="S449" s="1"/>
      <c r="T449" s="1">
        <v>95</v>
      </c>
      <c r="U449" s="1"/>
      <c r="V449" s="1"/>
      <c r="W449" s="1"/>
      <c r="X449" s="1"/>
      <c r="Y449" s="1"/>
      <c r="Z449" s="1"/>
      <c r="AA449" s="1"/>
      <c r="AB449" s="1"/>
      <c r="AC449" s="1"/>
      <c r="AD449" s="1">
        <v>15</v>
      </c>
      <c r="AE449" s="1"/>
      <c r="AF449" s="1"/>
      <c r="AG449" s="1"/>
      <c r="AH449" s="6"/>
      <c r="AI449" s="1"/>
      <c r="AJ449" s="1"/>
      <c r="AK449" s="1"/>
      <c r="AL449" s="1"/>
      <c r="AM449" s="1"/>
      <c r="AN449" s="1"/>
      <c r="AO449" s="1"/>
      <c r="AP449" s="1"/>
      <c r="AQ449" s="1"/>
      <c r="AR449" s="1"/>
      <c r="AS449" s="1" t="s">
        <v>491</v>
      </c>
      <c r="AT449" s="1" t="s">
        <v>492</v>
      </c>
      <c r="AU449" s="1">
        <v>0.25</v>
      </c>
      <c r="AV449" s="1">
        <v>2015</v>
      </c>
      <c r="AW449" s="1">
        <v>515000</v>
      </c>
      <c r="AX449" s="1">
        <v>141050</v>
      </c>
      <c r="AY449" s="1">
        <v>411345.00000000006</v>
      </c>
      <c r="AZ449" s="1">
        <v>0.1</v>
      </c>
      <c r="BA449" s="1">
        <v>22</v>
      </c>
      <c r="BB449" s="1">
        <v>706000</v>
      </c>
      <c r="BC449" s="1">
        <v>743395</v>
      </c>
      <c r="BD449" s="1">
        <v>105474</v>
      </c>
      <c r="BE449" s="1">
        <v>95</v>
      </c>
      <c r="BF449" s="1">
        <v>15</v>
      </c>
      <c r="BG449" s="1">
        <v>0.16</v>
      </c>
      <c r="BH449" s="1" t="s">
        <v>483</v>
      </c>
      <c r="BI449" s="1"/>
      <c r="BJ449" s="1">
        <v>18697.500000000004</v>
      </c>
      <c r="BK449" s="1"/>
    </row>
    <row r="450" spans="1:63" ht="16" thickBot="1" x14ac:dyDescent="0.25">
      <c r="A450" s="3">
        <v>450</v>
      </c>
      <c r="B450" s="3" t="s">
        <v>477</v>
      </c>
      <c r="C450" s="3" t="s">
        <v>543</v>
      </c>
      <c r="D450" s="1" t="s">
        <v>478</v>
      </c>
      <c r="E450" s="1"/>
      <c r="F450" s="1"/>
      <c r="G450" s="1" t="s">
        <v>102</v>
      </c>
      <c r="H450" s="1" t="s">
        <v>114</v>
      </c>
      <c r="I450" s="1"/>
      <c r="J450" s="113">
        <f>Table4[[#This Row],[total_cost_npr]]*(1/'Calculations &amp; Assumptions'!$C$6)</f>
        <v>807015.78137028473</v>
      </c>
      <c r="K450" s="113">
        <f>Table4[[#This Row],[system_cost_npr_per_kwp]]*(1/'Calculations &amp; Assumptions'!$C$6)</f>
        <v>4747.1516551193217</v>
      </c>
      <c r="L450" s="23">
        <f>IF(Table4[[#This Row],[total_cost_inr]]&gt;0, Table4[[#This Row],[total_cost_inr]]*'Calculations &amp; Assumptions'!$C$7,IF(Table4[[#This Row],[total_cost_eur]]&gt;0,Table4[[#This Row],[total_cost_eur]]*'Calculations &amp; Assumptions'!$C$5,0))</f>
        <v>104831350</v>
      </c>
      <c r="M450" s="77">
        <f>IF(H450="smartmeter_1ph",Table4[[#This Row],[total_cost_npr]],Table4[[#This Row],[total_cost_npr]]/Table4[[#This Row],[pv_kWp]])</f>
        <v>616655</v>
      </c>
      <c r="N450" s="1"/>
      <c r="O450" s="1">
        <f>Table4[[#This Row],[total_cost_inr]]/Table4[[#This Row],[pv_kWp]]</f>
        <v>0</v>
      </c>
      <c r="P450" s="1">
        <v>806395</v>
      </c>
      <c r="Q450" s="1"/>
      <c r="R450" s="1"/>
      <c r="S450" s="1"/>
      <c r="T450" s="1">
        <v>170</v>
      </c>
      <c r="U450" s="1"/>
      <c r="V450" s="1"/>
      <c r="W450" s="1"/>
      <c r="X450" s="1"/>
      <c r="Y450" s="1"/>
      <c r="Z450" s="1"/>
      <c r="AA450" s="1"/>
      <c r="AB450" s="1"/>
      <c r="AC450" s="1"/>
      <c r="AD450" s="1">
        <v>85</v>
      </c>
      <c r="AE450" s="1"/>
      <c r="AF450" s="1"/>
      <c r="AG450" s="1"/>
      <c r="AH450" s="6"/>
      <c r="AI450" s="1"/>
      <c r="AJ450" s="1"/>
      <c r="AK450" s="1"/>
      <c r="AL450" s="1"/>
      <c r="AM450" s="1"/>
      <c r="AN450" s="1"/>
      <c r="AO450" s="1"/>
      <c r="AP450" s="1"/>
      <c r="AQ450" s="1"/>
      <c r="AR450" s="1"/>
      <c r="AS450" s="1" t="s">
        <v>491</v>
      </c>
      <c r="AT450" s="1" t="s">
        <v>492</v>
      </c>
      <c r="AU450" s="1">
        <v>0.35</v>
      </c>
      <c r="AV450" s="1">
        <v>2015</v>
      </c>
      <c r="AW450" s="1">
        <v>515000</v>
      </c>
      <c r="AX450" s="1">
        <v>141050</v>
      </c>
      <c r="AY450" s="1">
        <v>411345.00000000006</v>
      </c>
      <c r="AZ450" s="1">
        <v>0.1</v>
      </c>
      <c r="BA450" s="1">
        <v>22</v>
      </c>
      <c r="BB450" s="1">
        <v>768999.99999999988</v>
      </c>
      <c r="BC450" s="1">
        <v>806395</v>
      </c>
      <c r="BD450" s="1">
        <v>92916</v>
      </c>
      <c r="BE450" s="1">
        <v>170</v>
      </c>
      <c r="BF450" s="1">
        <v>85</v>
      </c>
      <c r="BG450" s="1">
        <v>0.16</v>
      </c>
      <c r="BH450" s="1" t="s">
        <v>483</v>
      </c>
      <c r="BI450" s="1"/>
      <c r="BJ450" s="1">
        <v>18697.500000000004</v>
      </c>
      <c r="BK450" s="1"/>
    </row>
    <row r="451" spans="1:63" ht="16" thickBot="1" x14ac:dyDescent="0.25">
      <c r="A451" s="3">
        <v>451</v>
      </c>
      <c r="B451" s="3" t="s">
        <v>477</v>
      </c>
      <c r="C451" s="3" t="s">
        <v>543</v>
      </c>
      <c r="D451" s="1" t="s">
        <v>478</v>
      </c>
      <c r="E451" s="1"/>
      <c r="F451" s="1"/>
      <c r="G451" s="1" t="s">
        <v>102</v>
      </c>
      <c r="H451" s="1" t="s">
        <v>114</v>
      </c>
      <c r="I451" s="1"/>
      <c r="J451" s="113">
        <f>Table4[[#This Row],[total_cost_npr]]*(1/'Calculations &amp; Assumptions'!$C$6)</f>
        <v>887077.36720554263</v>
      </c>
      <c r="K451" s="113">
        <f>Table4[[#This Row],[system_cost_npr_per_kwp]]*(1/'Calculations &amp; Assumptions'!$C$6)</f>
        <v>3249.3676454415481</v>
      </c>
      <c r="L451" s="23">
        <f>IF(Table4[[#This Row],[total_cost_inr]]&gt;0, Table4[[#This Row],[total_cost_inr]]*'Calculations &amp; Assumptions'!$C$7,IF(Table4[[#This Row],[total_cost_eur]]&gt;0,Table4[[#This Row],[total_cost_eur]]*'Calculations &amp; Assumptions'!$C$5,0))</f>
        <v>115231350</v>
      </c>
      <c r="M451" s="77">
        <f>IF(H451="smartmeter_1ph",Table4[[#This Row],[total_cost_npr]],Table4[[#This Row],[total_cost_npr]]/Table4[[#This Row],[pv_kWp]])</f>
        <v>422092.85714285716</v>
      </c>
      <c r="N451" s="1"/>
      <c r="O451" s="1">
        <f>Table4[[#This Row],[total_cost_inr]]/Table4[[#This Row],[pv_kWp]]</f>
        <v>0</v>
      </c>
      <c r="P451" s="1">
        <v>886395</v>
      </c>
      <c r="Q451" s="1"/>
      <c r="R451" s="1"/>
      <c r="S451" s="1"/>
      <c r="T451" s="1">
        <v>273</v>
      </c>
      <c r="U451" s="1"/>
      <c r="V451" s="1"/>
      <c r="W451" s="1"/>
      <c r="X451" s="1"/>
      <c r="Y451" s="1"/>
      <c r="Z451" s="1"/>
      <c r="AA451" s="1"/>
      <c r="AB451" s="1"/>
      <c r="AC451" s="1"/>
      <c r="AD451" s="1">
        <v>157</v>
      </c>
      <c r="AE451" s="1"/>
      <c r="AF451" s="1"/>
      <c r="AG451" s="1"/>
      <c r="AH451" s="6"/>
      <c r="AI451" s="1"/>
      <c r="AJ451" s="1"/>
      <c r="AK451" s="1"/>
      <c r="AL451" s="1"/>
      <c r="AM451" s="1"/>
      <c r="AN451" s="1"/>
      <c r="AO451" s="1"/>
      <c r="AP451" s="1"/>
      <c r="AQ451" s="1"/>
      <c r="AR451" s="1"/>
      <c r="AS451" s="1" t="s">
        <v>491</v>
      </c>
      <c r="AT451" s="1" t="s">
        <v>492</v>
      </c>
      <c r="AU451" s="1">
        <v>0.5</v>
      </c>
      <c r="AV451" s="1">
        <v>2015</v>
      </c>
      <c r="AW451" s="1">
        <v>515000</v>
      </c>
      <c r="AX451" s="1">
        <v>141050</v>
      </c>
      <c r="AY451" s="1">
        <v>411345.00000000006</v>
      </c>
      <c r="AZ451" s="1">
        <v>0.1</v>
      </c>
      <c r="BA451" s="1">
        <v>22</v>
      </c>
      <c r="BB451" s="1">
        <v>849000</v>
      </c>
      <c r="BC451" s="1">
        <v>886395</v>
      </c>
      <c r="BD451" s="1">
        <v>73593</v>
      </c>
      <c r="BE451" s="1">
        <v>273</v>
      </c>
      <c r="BF451" s="1">
        <v>157</v>
      </c>
      <c r="BG451" s="1">
        <v>0.16</v>
      </c>
      <c r="BH451" s="1" t="s">
        <v>483</v>
      </c>
      <c r="BI451" s="1"/>
      <c r="BJ451" s="1">
        <v>18697.500000000004</v>
      </c>
      <c r="BK451" s="1"/>
    </row>
    <row r="452" spans="1:63" ht="16" thickBot="1" x14ac:dyDescent="0.25">
      <c r="A452" s="3">
        <v>452</v>
      </c>
      <c r="B452" s="3" t="s">
        <v>477</v>
      </c>
      <c r="C452" s="3" t="s">
        <v>543</v>
      </c>
      <c r="D452" s="1" t="s">
        <v>478</v>
      </c>
      <c r="E452" s="1"/>
      <c r="F452" s="1"/>
      <c r="G452" s="1" t="s">
        <v>102</v>
      </c>
      <c r="H452" s="1" t="s">
        <v>114</v>
      </c>
      <c r="I452" s="1"/>
      <c r="J452" s="113">
        <f>Table4[[#This Row],[total_cost_npr]]*(1/'Calculations &amp; Assumptions'!$C$6)</f>
        <v>837038.87605850643</v>
      </c>
      <c r="K452" s="113">
        <f>Table4[[#This Row],[system_cost_npr_per_kwp]]*(1/'Calculations &amp; Assumptions'!$C$6)</f>
        <v>4083.11646857808</v>
      </c>
      <c r="L452" s="23">
        <f>IF(Table4[[#This Row],[total_cost_inr]]&gt;0, Table4[[#This Row],[total_cost_inr]]*'Calculations &amp; Assumptions'!$C$7,IF(Table4[[#This Row],[total_cost_eur]]&gt;0,Table4[[#This Row],[total_cost_eur]]*'Calculations &amp; Assumptions'!$C$5,0))</f>
        <v>108731350</v>
      </c>
      <c r="M452" s="77">
        <f>IF(H452="smartmeter_1ph",Table4[[#This Row],[total_cost_npr]],Table4[[#This Row],[total_cost_npr]]/Table4[[#This Row],[pv_kWp]])</f>
        <v>530396.82926829264</v>
      </c>
      <c r="N452" s="1"/>
      <c r="O452" s="1">
        <f>Table4[[#This Row],[total_cost_inr]]/Table4[[#This Row],[pv_kWp]]</f>
        <v>0</v>
      </c>
      <c r="P452" s="1">
        <v>836395</v>
      </c>
      <c r="Q452" s="1"/>
      <c r="R452" s="1"/>
      <c r="S452" s="1"/>
      <c r="T452" s="1">
        <v>205</v>
      </c>
      <c r="U452" s="1"/>
      <c r="V452" s="1"/>
      <c r="W452" s="1"/>
      <c r="X452" s="1"/>
      <c r="Y452" s="1"/>
      <c r="Z452" s="1"/>
      <c r="AA452" s="1"/>
      <c r="AB452" s="1"/>
      <c r="AC452" s="1"/>
      <c r="AD452" s="1">
        <v>110</v>
      </c>
      <c r="AE452" s="1"/>
      <c r="AF452" s="1"/>
      <c r="AG452" s="1"/>
      <c r="AH452" s="6"/>
      <c r="AI452" s="1"/>
      <c r="AJ452" s="1"/>
      <c r="AK452" s="1"/>
      <c r="AL452" s="1"/>
      <c r="AM452" s="1"/>
      <c r="AN452" s="1"/>
      <c r="AO452" s="1"/>
      <c r="AP452" s="1"/>
      <c r="AQ452" s="1"/>
      <c r="AR452" s="1"/>
      <c r="AS452" s="1" t="s">
        <v>491</v>
      </c>
      <c r="AT452" s="1" t="s">
        <v>492</v>
      </c>
      <c r="AU452" s="1">
        <v>0.4</v>
      </c>
      <c r="AV452" s="1">
        <v>2015</v>
      </c>
      <c r="AW452" s="1">
        <v>515000</v>
      </c>
      <c r="AX452" s="1">
        <v>141050</v>
      </c>
      <c r="AY452" s="1">
        <v>411345.00000000006</v>
      </c>
      <c r="AZ452" s="1">
        <v>0.1</v>
      </c>
      <c r="BA452" s="1">
        <v>22</v>
      </c>
      <c r="BB452" s="1">
        <v>798999.99999999988</v>
      </c>
      <c r="BC452" s="1">
        <v>836395</v>
      </c>
      <c r="BD452" s="1">
        <v>86098</v>
      </c>
      <c r="BE452" s="1">
        <v>205</v>
      </c>
      <c r="BF452" s="1">
        <v>110</v>
      </c>
      <c r="BG452" s="1">
        <v>0.16</v>
      </c>
      <c r="BH452" s="1" t="s">
        <v>483</v>
      </c>
      <c r="BI452" s="1"/>
      <c r="BJ452" s="1">
        <v>18697.500000000004</v>
      </c>
      <c r="BK452" s="1"/>
    </row>
    <row r="453" spans="1:63" ht="16" thickBot="1" x14ac:dyDescent="0.25">
      <c r="A453" s="3">
        <v>453</v>
      </c>
      <c r="B453" s="3" t="s">
        <v>477</v>
      </c>
      <c r="C453" s="3" t="s">
        <v>543</v>
      </c>
      <c r="D453" s="1" t="s">
        <v>478</v>
      </c>
      <c r="E453" s="1"/>
      <c r="F453" s="1"/>
      <c r="G453" s="1" t="s">
        <v>102</v>
      </c>
      <c r="H453" s="1" t="s">
        <v>114</v>
      </c>
      <c r="I453" s="1"/>
      <c r="J453" s="113">
        <f>Table4[[#This Row],[total_cost_npr]]*(1/'Calculations &amp; Assumptions'!$C$6)</f>
        <v>774991.14703618165</v>
      </c>
      <c r="K453" s="113">
        <f>Table4[[#This Row],[system_cost_npr_per_kwp]]*(1/'Calculations &amp; Assumptions'!$C$6)</f>
        <v>5740.6751632309752</v>
      </c>
      <c r="L453" s="23">
        <f>IF(Table4[[#This Row],[total_cost_inr]]&gt;0, Table4[[#This Row],[total_cost_inr]]*'Calculations &amp; Assumptions'!$C$7,IF(Table4[[#This Row],[total_cost_eur]]&gt;0,Table4[[#This Row],[total_cost_eur]]*'Calculations &amp; Assumptions'!$C$5,0))</f>
        <v>100671350</v>
      </c>
      <c r="M453" s="77">
        <f>IF(H453="smartmeter_1ph",Table4[[#This Row],[total_cost_npr]],Table4[[#This Row],[total_cost_npr]]/Table4[[#This Row],[pv_kWp]])</f>
        <v>745713.70370370371</v>
      </c>
      <c r="N453" s="1"/>
      <c r="O453" s="1">
        <f>Table4[[#This Row],[total_cost_inr]]/Table4[[#This Row],[pv_kWp]]</f>
        <v>0</v>
      </c>
      <c r="P453" s="1">
        <v>774395</v>
      </c>
      <c r="Q453" s="1"/>
      <c r="R453" s="1"/>
      <c r="S453" s="1"/>
      <c r="T453" s="1">
        <v>135</v>
      </c>
      <c r="U453" s="1"/>
      <c r="V453" s="1"/>
      <c r="W453" s="1"/>
      <c r="X453" s="1"/>
      <c r="Y453" s="1"/>
      <c r="Z453" s="1"/>
      <c r="AA453" s="1"/>
      <c r="AB453" s="1"/>
      <c r="AC453" s="1"/>
      <c r="AD453" s="1">
        <v>50</v>
      </c>
      <c r="AE453" s="1"/>
      <c r="AF453" s="1"/>
      <c r="AG453" s="1"/>
      <c r="AH453" s="6"/>
      <c r="AI453" s="1"/>
      <c r="AJ453" s="1"/>
      <c r="AK453" s="1"/>
      <c r="AL453" s="1"/>
      <c r="AM453" s="1"/>
      <c r="AN453" s="1"/>
      <c r="AO453" s="1"/>
      <c r="AP453" s="1"/>
      <c r="AQ453" s="1"/>
      <c r="AR453" s="1"/>
      <c r="AS453" s="1" t="s">
        <v>491</v>
      </c>
      <c r="AT453" s="1" t="s">
        <v>492</v>
      </c>
      <c r="AU453" s="1">
        <v>0.3</v>
      </c>
      <c r="AV453" s="1">
        <v>2015</v>
      </c>
      <c r="AW453" s="1">
        <v>515000</v>
      </c>
      <c r="AX453" s="1">
        <v>141050</v>
      </c>
      <c r="AY453" s="1">
        <v>411345.00000000006</v>
      </c>
      <c r="AZ453" s="1">
        <v>0.1</v>
      </c>
      <c r="BA453" s="1">
        <v>22</v>
      </c>
      <c r="BB453" s="1">
        <v>737000</v>
      </c>
      <c r="BC453" s="1">
        <v>774395</v>
      </c>
      <c r="BD453" s="1">
        <v>98742</v>
      </c>
      <c r="BE453" s="1">
        <v>135</v>
      </c>
      <c r="BF453" s="1">
        <v>50</v>
      </c>
      <c r="BG453" s="1">
        <v>0.16</v>
      </c>
      <c r="BH453" s="1" t="s">
        <v>483</v>
      </c>
      <c r="BI453" s="1"/>
      <c r="BJ453" s="1">
        <v>18697.500000000004</v>
      </c>
      <c r="BK453" s="1"/>
    </row>
    <row r="454" spans="1:63" ht="16" thickBot="1" x14ac:dyDescent="0.25">
      <c r="A454" s="3">
        <v>454</v>
      </c>
      <c r="B454" s="3" t="s">
        <v>477</v>
      </c>
      <c r="C454" s="3" t="s">
        <v>543</v>
      </c>
      <c r="D454" s="1" t="s">
        <v>478</v>
      </c>
      <c r="E454" s="1"/>
      <c r="F454" s="1"/>
      <c r="G454" s="1" t="s">
        <v>102</v>
      </c>
      <c r="H454" s="1" t="s">
        <v>114</v>
      </c>
      <c r="I454" s="1"/>
      <c r="J454" s="113">
        <f>Table4[[#This Row],[total_cost_npr]]*(1/'Calculations &amp; Assumptions'!$C$6)</f>
        <v>863058.89145496523</v>
      </c>
      <c r="K454" s="113">
        <f>Table4[[#This Row],[system_cost_npr_per_kwp]]*(1/'Calculations &amp; Assumptions'!$C$6)</f>
        <v>3596.0787143956886</v>
      </c>
      <c r="L454" s="23">
        <f>IF(Table4[[#This Row],[total_cost_inr]]&gt;0, Table4[[#This Row],[total_cost_inr]]*'Calculations &amp; Assumptions'!$C$7,IF(Table4[[#This Row],[total_cost_eur]]&gt;0,Table4[[#This Row],[total_cost_eur]]*'Calculations &amp; Assumptions'!$C$5,0))</f>
        <v>112111350</v>
      </c>
      <c r="M454" s="77">
        <f>IF(H454="smartmeter_1ph",Table4[[#This Row],[total_cost_npr]],Table4[[#This Row],[total_cost_npr]]/Table4[[#This Row],[pv_kWp]])</f>
        <v>467130.625</v>
      </c>
      <c r="N454" s="1"/>
      <c r="O454" s="1">
        <f>Table4[[#This Row],[total_cost_inr]]/Table4[[#This Row],[pv_kWp]]</f>
        <v>0</v>
      </c>
      <c r="P454" s="1">
        <v>862395</v>
      </c>
      <c r="Q454" s="1"/>
      <c r="R454" s="1"/>
      <c r="S454" s="1"/>
      <c r="T454" s="1">
        <v>240</v>
      </c>
      <c r="U454" s="1"/>
      <c r="V454" s="1"/>
      <c r="W454" s="1"/>
      <c r="X454" s="1"/>
      <c r="Y454" s="1"/>
      <c r="Z454" s="1"/>
      <c r="AA454" s="1"/>
      <c r="AB454" s="1"/>
      <c r="AC454" s="1"/>
      <c r="AD454" s="1">
        <v>135</v>
      </c>
      <c r="AE454" s="1"/>
      <c r="AF454" s="1"/>
      <c r="AG454" s="1"/>
      <c r="AH454" s="6"/>
      <c r="AI454" s="1"/>
      <c r="AJ454" s="1"/>
      <c r="AK454" s="1"/>
      <c r="AL454" s="1"/>
      <c r="AM454" s="1"/>
      <c r="AN454" s="1"/>
      <c r="AO454" s="1"/>
      <c r="AP454" s="1"/>
      <c r="AQ454" s="1"/>
      <c r="AR454" s="1"/>
      <c r="AS454" s="1" t="s">
        <v>491</v>
      </c>
      <c r="AT454" s="1" t="s">
        <v>492</v>
      </c>
      <c r="AU454" s="1">
        <v>0.45</v>
      </c>
      <c r="AV454" s="1">
        <v>2015</v>
      </c>
      <c r="AW454" s="1">
        <v>515000</v>
      </c>
      <c r="AX454" s="1">
        <v>141050</v>
      </c>
      <c r="AY454" s="1">
        <v>411345.00000000006</v>
      </c>
      <c r="AZ454" s="1">
        <v>0.1</v>
      </c>
      <c r="BA454" s="1">
        <v>22</v>
      </c>
      <c r="BB454" s="1">
        <v>825000</v>
      </c>
      <c r="BC454" s="1">
        <v>862395</v>
      </c>
      <c r="BD454" s="1">
        <v>78785</v>
      </c>
      <c r="BE454" s="1">
        <v>240</v>
      </c>
      <c r="BF454" s="1">
        <v>135</v>
      </c>
      <c r="BG454" s="1">
        <v>0.16</v>
      </c>
      <c r="BH454" s="1" t="s">
        <v>483</v>
      </c>
      <c r="BI454" s="1"/>
      <c r="BJ454" s="1">
        <v>18697.500000000004</v>
      </c>
      <c r="BK454" s="1"/>
    </row>
    <row r="455" spans="1:63" ht="16" thickBot="1" x14ac:dyDescent="0.25">
      <c r="A455" s="3">
        <v>455</v>
      </c>
      <c r="B455" s="3" t="s">
        <v>477</v>
      </c>
      <c r="C455" s="3" t="s">
        <v>543</v>
      </c>
      <c r="D455" s="1" t="s">
        <v>478</v>
      </c>
      <c r="E455" s="1"/>
      <c r="F455" s="1"/>
      <c r="G455" s="1" t="s">
        <v>102</v>
      </c>
      <c r="H455" s="1" t="s">
        <v>114</v>
      </c>
      <c r="I455" s="1"/>
      <c r="J455" s="113">
        <f>Table4[[#This Row],[total_cost_npr]]*(1/'Calculations &amp; Assumptions'!$C$6)</f>
        <v>931111.23941493453</v>
      </c>
      <c r="K455" s="113">
        <f>Table4[[#This Row],[system_cost_npr_per_kwp]]*(1/'Calculations &amp; Assumptions'!$C$6)</f>
        <v>2847.4349829202888</v>
      </c>
      <c r="L455" s="23">
        <f>IF(Table4[[#This Row],[total_cost_inr]]&gt;0, Table4[[#This Row],[total_cost_inr]]*'Calculations &amp; Assumptions'!$C$7,IF(Table4[[#This Row],[total_cost_eur]]&gt;0,Table4[[#This Row],[total_cost_eur]]*'Calculations &amp; Assumptions'!$C$5,0))</f>
        <v>120951350</v>
      </c>
      <c r="M455" s="77">
        <f>IF(H455="smartmeter_1ph",Table4[[#This Row],[total_cost_npr]],Table4[[#This Row],[total_cost_npr]]/Table4[[#This Row],[pv_kWp]])</f>
        <v>369881.80428134557</v>
      </c>
      <c r="N455" s="1"/>
      <c r="O455" s="1">
        <f>Table4[[#This Row],[total_cost_inr]]/Table4[[#This Row],[pv_kWp]]</f>
        <v>0</v>
      </c>
      <c r="P455" s="1">
        <v>930395</v>
      </c>
      <c r="Q455" s="1"/>
      <c r="R455" s="1"/>
      <c r="S455" s="1"/>
      <c r="T455" s="1">
        <v>327</v>
      </c>
      <c r="U455" s="1"/>
      <c r="V455" s="1"/>
      <c r="W455" s="1"/>
      <c r="X455" s="1"/>
      <c r="Y455" s="1"/>
      <c r="Z455" s="1"/>
      <c r="AA455" s="1"/>
      <c r="AB455" s="1"/>
      <c r="AC455" s="1"/>
      <c r="AD455" s="1">
        <v>205</v>
      </c>
      <c r="AE455" s="1"/>
      <c r="AF455" s="1"/>
      <c r="AG455" s="1"/>
      <c r="AH455" s="6"/>
      <c r="AI455" s="1"/>
      <c r="AJ455" s="1"/>
      <c r="AK455" s="1"/>
      <c r="AL455" s="1"/>
      <c r="AM455" s="1"/>
      <c r="AN455" s="1"/>
      <c r="AO455" s="1"/>
      <c r="AP455" s="1"/>
      <c r="AQ455" s="1"/>
      <c r="AR455" s="1"/>
      <c r="AS455" s="1" t="s">
        <v>491</v>
      </c>
      <c r="AT455" s="1" t="s">
        <v>492</v>
      </c>
      <c r="AU455" s="1">
        <v>0.55000000000000004</v>
      </c>
      <c r="AV455" s="1">
        <v>2015</v>
      </c>
      <c r="AW455" s="1">
        <v>515000</v>
      </c>
      <c r="AX455" s="1">
        <v>141050</v>
      </c>
      <c r="AY455" s="1">
        <v>411345.00000000006</v>
      </c>
      <c r="AZ455" s="1">
        <v>0.1</v>
      </c>
      <c r="BA455" s="1">
        <v>22</v>
      </c>
      <c r="BB455" s="1">
        <v>893000</v>
      </c>
      <c r="BC455" s="1">
        <v>930395</v>
      </c>
      <c r="BD455" s="1">
        <v>66319</v>
      </c>
      <c r="BE455" s="1">
        <v>327</v>
      </c>
      <c r="BF455" s="1">
        <v>205</v>
      </c>
      <c r="BG455" s="1">
        <v>0.16</v>
      </c>
      <c r="BH455" s="1" t="s">
        <v>483</v>
      </c>
      <c r="BI455" s="1"/>
      <c r="BJ455" s="1">
        <v>18697.500000000004</v>
      </c>
      <c r="BK455" s="1"/>
    </row>
    <row r="456" spans="1:63" ht="16" thickBot="1" x14ac:dyDescent="0.25">
      <c r="A456" s="3">
        <v>456</v>
      </c>
      <c r="B456" s="3" t="s">
        <v>477</v>
      </c>
      <c r="C456" s="3" t="s">
        <v>543</v>
      </c>
      <c r="D456" s="1" t="s">
        <v>478</v>
      </c>
      <c r="E456" s="1"/>
      <c r="F456" s="1"/>
      <c r="G456" s="1" t="s">
        <v>102</v>
      </c>
      <c r="H456" s="1" t="s">
        <v>114</v>
      </c>
      <c r="I456" s="1"/>
      <c r="J456" s="113">
        <f>Table4[[#This Row],[total_cost_npr]]*(1/'Calculations &amp; Assumptions'!$C$6)</f>
        <v>991157.42879137816</v>
      </c>
      <c r="K456" s="113">
        <f>Table4[[#This Row],[system_cost_npr_per_kwp]]*(1/'Calculations &amp; Assumptions'!$C$6)</f>
        <v>2636.0569914664311</v>
      </c>
      <c r="L456" s="23">
        <f>IF(Table4[[#This Row],[total_cost_inr]]&gt;0, Table4[[#This Row],[total_cost_inr]]*'Calculations &amp; Assumptions'!$C$7,IF(Table4[[#This Row],[total_cost_eur]]&gt;0,Table4[[#This Row],[total_cost_eur]]*'Calculations &amp; Assumptions'!$C$5,0))</f>
        <v>128751350.00000003</v>
      </c>
      <c r="M456" s="77">
        <f>IF(H456="smartmeter_1ph",Table4[[#This Row],[total_cost_npr]],Table4[[#This Row],[total_cost_npr]]/Table4[[#This Row],[pv_kWp]])</f>
        <v>342423.80319148942</v>
      </c>
      <c r="N456" s="1"/>
      <c r="O456" s="1">
        <f>Table4[[#This Row],[total_cost_inr]]/Table4[[#This Row],[pv_kWp]]</f>
        <v>0</v>
      </c>
      <c r="P456" s="1">
        <v>990395.00000000023</v>
      </c>
      <c r="Q456" s="1"/>
      <c r="R456" s="1"/>
      <c r="S456" s="1"/>
      <c r="T456" s="1">
        <v>376</v>
      </c>
      <c r="U456" s="1"/>
      <c r="V456" s="1"/>
      <c r="W456" s="1"/>
      <c r="X456" s="1"/>
      <c r="Y456" s="1"/>
      <c r="Z456" s="1"/>
      <c r="AA456" s="1"/>
      <c r="AB456" s="1"/>
      <c r="AC456" s="1"/>
      <c r="AD456" s="1">
        <v>302</v>
      </c>
      <c r="AE456" s="1"/>
      <c r="AF456" s="1"/>
      <c r="AG456" s="1"/>
      <c r="AH456" s="6"/>
      <c r="AI456" s="1"/>
      <c r="AJ456" s="1"/>
      <c r="AK456" s="1"/>
      <c r="AL456" s="1"/>
      <c r="AM456" s="1"/>
      <c r="AN456" s="1"/>
      <c r="AO456" s="1"/>
      <c r="AP456" s="1"/>
      <c r="AQ456" s="1"/>
      <c r="AR456" s="1"/>
      <c r="AS456" s="1" t="s">
        <v>491</v>
      </c>
      <c r="AT456" s="1" t="s">
        <v>492</v>
      </c>
      <c r="AU456" s="1">
        <v>0.6</v>
      </c>
      <c r="AV456" s="1">
        <v>2015</v>
      </c>
      <c r="AW456" s="1">
        <v>515000</v>
      </c>
      <c r="AX456" s="1">
        <v>141050</v>
      </c>
      <c r="AY456" s="1">
        <v>411345.00000000006</v>
      </c>
      <c r="AZ456" s="1">
        <v>0.1</v>
      </c>
      <c r="BA456" s="1">
        <v>22</v>
      </c>
      <c r="BB456" s="1">
        <v>953000.00000000012</v>
      </c>
      <c r="BC456" s="1">
        <v>990395.00000000023</v>
      </c>
      <c r="BD456" s="1">
        <v>57375</v>
      </c>
      <c r="BE456" s="1">
        <v>376</v>
      </c>
      <c r="BF456" s="1">
        <v>302</v>
      </c>
      <c r="BG456" s="1">
        <v>0.16</v>
      </c>
      <c r="BH456" s="1" t="s">
        <v>483</v>
      </c>
      <c r="BI456" s="1"/>
      <c r="BJ456" s="1">
        <v>18697.500000000004</v>
      </c>
      <c r="BK456" s="1"/>
    </row>
    <row r="457" spans="1:63" ht="16" thickBot="1" x14ac:dyDescent="0.25">
      <c r="A457" s="3">
        <v>457</v>
      </c>
      <c r="B457" s="3" t="s">
        <v>477</v>
      </c>
      <c r="C457" s="3" t="s">
        <v>543</v>
      </c>
      <c r="D457" s="1" t="s">
        <v>478</v>
      </c>
      <c r="E457" s="1"/>
      <c r="F457" s="1"/>
      <c r="G457" s="1" t="s">
        <v>102</v>
      </c>
      <c r="H457" s="1" t="s">
        <v>114</v>
      </c>
      <c r="I457" s="1"/>
      <c r="J457" s="113">
        <f>Table4[[#This Row],[total_cost_npr]]*(1/'Calculations &amp; Assumptions'!$C$6)</f>
        <v>1041195.9199384142</v>
      </c>
      <c r="K457" s="113">
        <f>Table4[[#This Row],[system_cost_npr_per_kwp]]*(1/'Calculations &amp; Assumptions'!$C$6)</f>
        <v>2388.0640365559962</v>
      </c>
      <c r="L457" s="23">
        <f>IF(Table4[[#This Row],[total_cost_inr]]&gt;0, Table4[[#This Row],[total_cost_inr]]*'Calculations &amp; Assumptions'!$C$7,IF(Table4[[#This Row],[total_cost_eur]]&gt;0,Table4[[#This Row],[total_cost_eur]]*'Calculations &amp; Assumptions'!$C$5,0))</f>
        <v>135251350.00000003</v>
      </c>
      <c r="M457" s="77">
        <f>IF(H457="smartmeter_1ph",Table4[[#This Row],[total_cost_npr]],Table4[[#This Row],[total_cost_npr]]/Table4[[#This Row],[pv_kWp]])</f>
        <v>310209.51834862394</v>
      </c>
      <c r="N457" s="1"/>
      <c r="O457" s="1">
        <f>Table4[[#This Row],[total_cost_inr]]/Table4[[#This Row],[pv_kWp]]</f>
        <v>0</v>
      </c>
      <c r="P457" s="1">
        <v>1040395.0000000002</v>
      </c>
      <c r="Q457" s="1"/>
      <c r="R457" s="1"/>
      <c r="S457" s="1"/>
      <c r="T457" s="1">
        <v>436</v>
      </c>
      <c r="U457" s="1"/>
      <c r="V457" s="1"/>
      <c r="W457" s="1"/>
      <c r="X457" s="1"/>
      <c r="Y457" s="1"/>
      <c r="Z457" s="1"/>
      <c r="AA457" s="1"/>
      <c r="AB457" s="1"/>
      <c r="AC457" s="1"/>
      <c r="AD457" s="1">
        <v>369</v>
      </c>
      <c r="AE457" s="1"/>
      <c r="AF457" s="1"/>
      <c r="AG457" s="1"/>
      <c r="AH457" s="6"/>
      <c r="AI457" s="1"/>
      <c r="AJ457" s="1"/>
      <c r="AK457" s="1"/>
      <c r="AL457" s="1"/>
      <c r="AM457" s="1"/>
      <c r="AN457" s="1"/>
      <c r="AO457" s="1"/>
      <c r="AP457" s="1"/>
      <c r="AQ457" s="1"/>
      <c r="AR457" s="1"/>
      <c r="AS457" s="1" t="s">
        <v>491</v>
      </c>
      <c r="AT457" s="1" t="s">
        <v>492</v>
      </c>
      <c r="AU457" s="1">
        <v>0.65</v>
      </c>
      <c r="AV457" s="1">
        <v>2015</v>
      </c>
      <c r="AW457" s="1">
        <v>515000</v>
      </c>
      <c r="AX457" s="1">
        <v>141050</v>
      </c>
      <c r="AY457" s="1">
        <v>411345.00000000006</v>
      </c>
      <c r="AZ457" s="1">
        <v>0.1</v>
      </c>
      <c r="BA457" s="1">
        <v>22</v>
      </c>
      <c r="BB457" s="1">
        <v>1003000.0000000001</v>
      </c>
      <c r="BC457" s="1">
        <v>1040395.0000000002</v>
      </c>
      <c r="BD457" s="1">
        <v>50942</v>
      </c>
      <c r="BE457" s="1">
        <v>436</v>
      </c>
      <c r="BF457" s="1">
        <v>369</v>
      </c>
      <c r="BG457" s="1">
        <v>0.16</v>
      </c>
      <c r="BH457" s="1" t="s">
        <v>483</v>
      </c>
      <c r="BI457" s="1"/>
      <c r="BJ457" s="1">
        <v>18697.500000000004</v>
      </c>
      <c r="BK457" s="1"/>
    </row>
    <row r="458" spans="1:63" ht="16" thickBot="1" x14ac:dyDescent="0.25">
      <c r="A458" s="3">
        <v>458</v>
      </c>
      <c r="B458" s="3" t="s">
        <v>477</v>
      </c>
      <c r="C458" s="3" t="s">
        <v>543</v>
      </c>
      <c r="D458" s="1" t="s">
        <v>478</v>
      </c>
      <c r="E458" s="1"/>
      <c r="F458" s="1"/>
      <c r="G458" s="1" t="s">
        <v>102</v>
      </c>
      <c r="H458" s="1" t="s">
        <v>114</v>
      </c>
      <c r="I458" s="1"/>
      <c r="J458" s="113">
        <f>Table4[[#This Row],[total_cost_npr]]*(1/'Calculations &amp; Assumptions'!$C$6)</f>
        <v>1092235.180908391</v>
      </c>
      <c r="K458" s="113">
        <f>Table4[[#This Row],[system_cost_npr_per_kwp]]*(1/'Calculations &amp; Assumptions'!$C$6)</f>
        <v>2416.4495152840509</v>
      </c>
      <c r="L458" s="23">
        <f>IF(Table4[[#This Row],[total_cost_inr]]&gt;0, Table4[[#This Row],[total_cost_inr]]*'Calculations &amp; Assumptions'!$C$7,IF(Table4[[#This Row],[total_cost_eur]]&gt;0,Table4[[#This Row],[total_cost_eur]]*'Calculations &amp; Assumptions'!$C$5,0))</f>
        <v>141881350</v>
      </c>
      <c r="M458" s="77">
        <f>IF(H458="smartmeter_1ph",Table4[[#This Row],[total_cost_npr]],Table4[[#This Row],[total_cost_npr]]/Table4[[#This Row],[pv_kWp]])</f>
        <v>313896.79203539825</v>
      </c>
      <c r="N458" s="1"/>
      <c r="O458" s="1">
        <f>Table4[[#This Row],[total_cost_inr]]/Table4[[#This Row],[pv_kWp]]</f>
        <v>0</v>
      </c>
      <c r="P458" s="1">
        <v>1091395</v>
      </c>
      <c r="Q458" s="1"/>
      <c r="R458" s="1"/>
      <c r="S458" s="1"/>
      <c r="T458" s="1">
        <v>452</v>
      </c>
      <c r="U458" s="1"/>
      <c r="V458" s="1"/>
      <c r="W458" s="1"/>
      <c r="X458" s="1"/>
      <c r="Y458" s="1"/>
      <c r="Z458" s="1"/>
      <c r="AA458" s="1"/>
      <c r="AB458" s="1"/>
      <c r="AC458" s="1"/>
      <c r="AD458" s="1">
        <v>473</v>
      </c>
      <c r="AE458" s="1"/>
      <c r="AF458" s="1"/>
      <c r="AG458" s="1"/>
      <c r="AH458" s="6"/>
      <c r="AI458" s="1"/>
      <c r="AJ458" s="1"/>
      <c r="AK458" s="1"/>
      <c r="AL458" s="1"/>
      <c r="AM458" s="1"/>
      <c r="AN458" s="1"/>
      <c r="AO458" s="1"/>
      <c r="AP458" s="1"/>
      <c r="AQ458" s="1"/>
      <c r="AR458" s="1"/>
      <c r="AS458" s="1" t="s">
        <v>491</v>
      </c>
      <c r="AT458" s="1" t="s">
        <v>492</v>
      </c>
      <c r="AU458" s="1">
        <v>0.7</v>
      </c>
      <c r="AV458" s="1">
        <v>2015</v>
      </c>
      <c r="AW458" s="1">
        <v>515000</v>
      </c>
      <c r="AX458" s="1">
        <v>141050</v>
      </c>
      <c r="AY458" s="1">
        <v>411345.00000000006</v>
      </c>
      <c r="AZ458" s="1">
        <v>0.1</v>
      </c>
      <c r="BA458" s="1">
        <v>22</v>
      </c>
      <c r="BB458" s="1">
        <v>1054000</v>
      </c>
      <c r="BC458" s="1">
        <v>1091395</v>
      </c>
      <c r="BD458" s="1">
        <v>44085</v>
      </c>
      <c r="BE458" s="1">
        <v>452</v>
      </c>
      <c r="BF458" s="1">
        <v>473</v>
      </c>
      <c r="BG458" s="1">
        <v>0.16</v>
      </c>
      <c r="BH458" s="1" t="s">
        <v>483</v>
      </c>
      <c r="BI458" s="1"/>
      <c r="BJ458" s="1">
        <v>18697.500000000004</v>
      </c>
      <c r="BK458" s="1"/>
    </row>
    <row r="459" spans="1:63" ht="16" thickBot="1" x14ac:dyDescent="0.25">
      <c r="A459" s="3">
        <v>459</v>
      </c>
      <c r="B459" s="3" t="s">
        <v>477</v>
      </c>
      <c r="C459" s="3" t="s">
        <v>543</v>
      </c>
      <c r="D459" s="1" t="s">
        <v>478</v>
      </c>
      <c r="E459" s="1"/>
      <c r="F459" s="1"/>
      <c r="G459" s="1" t="s">
        <v>102</v>
      </c>
      <c r="H459" s="1" t="s">
        <v>114</v>
      </c>
      <c r="I459" s="1"/>
      <c r="J459" s="113">
        <f>Table4[[#This Row],[total_cost_npr]]*(1/'Calculations &amp; Assumptions'!$C$6)</f>
        <v>1144275.2117013084</v>
      </c>
      <c r="K459" s="113">
        <f>Table4[[#This Row],[system_cost_npr_per_kwp]]*(1/'Calculations &amp; Assumptions'!$C$6)</f>
        <v>2445.0325036352742</v>
      </c>
      <c r="L459" s="23">
        <f>IF(Table4[[#This Row],[total_cost_inr]]&gt;0, Table4[[#This Row],[total_cost_inr]]*'Calculations &amp; Assumptions'!$C$7,IF(Table4[[#This Row],[total_cost_eur]]&gt;0,Table4[[#This Row],[total_cost_eur]]*'Calculations &amp; Assumptions'!$C$5,0))</f>
        <v>148641349.99999997</v>
      </c>
      <c r="M459" s="77">
        <f>IF(H459="smartmeter_1ph",Table4[[#This Row],[total_cost_npr]],Table4[[#This Row],[total_cost_npr]]/Table4[[#This Row],[pv_kWp]])</f>
        <v>317609.72222222213</v>
      </c>
      <c r="N459" s="1"/>
      <c r="O459" s="1">
        <f>Table4[[#This Row],[total_cost_inr]]/Table4[[#This Row],[pv_kWp]]</f>
        <v>0</v>
      </c>
      <c r="P459" s="1">
        <v>1143394.9999999998</v>
      </c>
      <c r="Q459" s="1"/>
      <c r="R459" s="1"/>
      <c r="S459" s="1"/>
      <c r="T459" s="1">
        <v>468</v>
      </c>
      <c r="U459" s="1"/>
      <c r="V459" s="1"/>
      <c r="W459" s="1"/>
      <c r="X459" s="1"/>
      <c r="Y459" s="1"/>
      <c r="Z459" s="1"/>
      <c r="AA459" s="1"/>
      <c r="AB459" s="1"/>
      <c r="AC459" s="1"/>
      <c r="AD459" s="1">
        <v>572</v>
      </c>
      <c r="AE459" s="1"/>
      <c r="AF459" s="1"/>
      <c r="AG459" s="1"/>
      <c r="AH459" s="6"/>
      <c r="AI459" s="1"/>
      <c r="AJ459" s="1"/>
      <c r="AK459" s="1"/>
      <c r="AL459" s="1"/>
      <c r="AM459" s="1"/>
      <c r="AN459" s="1"/>
      <c r="AO459" s="1"/>
      <c r="AP459" s="1"/>
      <c r="AQ459" s="1"/>
      <c r="AR459" s="1"/>
      <c r="AS459" s="1" t="s">
        <v>491</v>
      </c>
      <c r="AT459" s="1" t="s">
        <v>492</v>
      </c>
      <c r="AU459" s="1">
        <v>0.75</v>
      </c>
      <c r="AV459" s="1">
        <v>2015</v>
      </c>
      <c r="AW459" s="1">
        <v>515000</v>
      </c>
      <c r="AX459" s="1">
        <v>141050</v>
      </c>
      <c r="AY459" s="1">
        <v>411345.00000000006</v>
      </c>
      <c r="AZ459" s="1">
        <v>0.1</v>
      </c>
      <c r="BA459" s="1">
        <v>22</v>
      </c>
      <c r="BB459" s="1">
        <v>1105999.9999999998</v>
      </c>
      <c r="BC459" s="1">
        <v>1143394.9999999998</v>
      </c>
      <c r="BD459" s="1">
        <v>36937</v>
      </c>
      <c r="BE459" s="1">
        <v>468</v>
      </c>
      <c r="BF459" s="1">
        <v>572</v>
      </c>
      <c r="BG459" s="1">
        <v>0.16</v>
      </c>
      <c r="BH459" s="1" t="s">
        <v>483</v>
      </c>
      <c r="BI459" s="1"/>
      <c r="BJ459" s="1">
        <v>18697.500000000004</v>
      </c>
      <c r="BK459" s="1"/>
    </row>
    <row r="460" spans="1:63" ht="16" thickBot="1" x14ac:dyDescent="0.25">
      <c r="A460" s="3">
        <v>460</v>
      </c>
      <c r="B460" s="3" t="s">
        <v>477</v>
      </c>
      <c r="C460" s="3" t="s">
        <v>543</v>
      </c>
      <c r="D460" s="1" t="s">
        <v>478</v>
      </c>
      <c r="E460" s="1"/>
      <c r="F460" s="1"/>
      <c r="G460" s="1" t="s">
        <v>102</v>
      </c>
      <c r="H460" s="1" t="s">
        <v>114</v>
      </c>
      <c r="I460" s="1"/>
      <c r="J460" s="113">
        <f>Table4[[#This Row],[total_cost_npr]]*(1/'Calculations &amp; Assumptions'!$C$6)</f>
        <v>1193312.9330254041</v>
      </c>
      <c r="K460" s="113">
        <f>Table4[[#This Row],[system_cost_npr_per_kwp]]*(1/'Calculations &amp; Assumptions'!$C$6)</f>
        <v>2381.8621417672734</v>
      </c>
      <c r="L460" s="23">
        <f>IF(Table4[[#This Row],[total_cost_inr]]&gt;0, Table4[[#This Row],[total_cost_inr]]*'Calculations &amp; Assumptions'!$C$7,IF(Table4[[#This Row],[total_cost_eur]]&gt;0,Table4[[#This Row],[total_cost_eur]]*'Calculations &amp; Assumptions'!$C$5,0))</f>
        <v>155011350</v>
      </c>
      <c r="M460" s="77">
        <f>IF(H460="smartmeter_1ph",Table4[[#This Row],[total_cost_npr]],Table4[[#This Row],[total_cost_npr]]/Table4[[#This Row],[pv_kWp]])</f>
        <v>309403.89221556886</v>
      </c>
      <c r="N460" s="1"/>
      <c r="O460" s="1">
        <f>Table4[[#This Row],[total_cost_inr]]/Table4[[#This Row],[pv_kWp]]</f>
        <v>0</v>
      </c>
      <c r="P460" s="1">
        <v>1192395</v>
      </c>
      <c r="Q460" s="1"/>
      <c r="R460" s="1"/>
      <c r="S460" s="1"/>
      <c r="T460" s="1">
        <v>501</v>
      </c>
      <c r="U460" s="1"/>
      <c r="V460" s="1"/>
      <c r="W460" s="1"/>
      <c r="X460" s="1"/>
      <c r="Y460" s="1"/>
      <c r="Z460" s="1"/>
      <c r="AA460" s="1"/>
      <c r="AB460" s="1"/>
      <c r="AC460" s="1"/>
      <c r="AD460" s="1">
        <v>667</v>
      </c>
      <c r="AE460" s="1"/>
      <c r="AF460" s="1"/>
      <c r="AG460" s="1"/>
      <c r="AH460" s="6"/>
      <c r="AI460" s="1"/>
      <c r="AJ460" s="1"/>
      <c r="AK460" s="1"/>
      <c r="AL460" s="1"/>
      <c r="AM460" s="1"/>
      <c r="AN460" s="1"/>
      <c r="AO460" s="1"/>
      <c r="AP460" s="1"/>
      <c r="AQ460" s="1"/>
      <c r="AR460" s="1"/>
      <c r="AS460" s="1" t="s">
        <v>491</v>
      </c>
      <c r="AT460" s="1" t="s">
        <v>492</v>
      </c>
      <c r="AU460" s="1">
        <v>0.8</v>
      </c>
      <c r="AV460" s="1">
        <v>2015</v>
      </c>
      <c r="AW460" s="1">
        <v>515000</v>
      </c>
      <c r="AX460" s="1">
        <v>141050</v>
      </c>
      <c r="AY460" s="1">
        <v>411345.00000000006</v>
      </c>
      <c r="AZ460" s="1">
        <v>0.1</v>
      </c>
      <c r="BA460" s="1">
        <v>22</v>
      </c>
      <c r="BB460" s="1">
        <v>1155000</v>
      </c>
      <c r="BC460" s="1">
        <v>1192395</v>
      </c>
      <c r="BD460" s="1">
        <v>29746</v>
      </c>
      <c r="BE460" s="1">
        <v>501</v>
      </c>
      <c r="BF460" s="1">
        <v>667</v>
      </c>
      <c r="BG460" s="1">
        <v>0.16</v>
      </c>
      <c r="BH460" s="1" t="s">
        <v>483</v>
      </c>
      <c r="BI460" s="1"/>
      <c r="BJ460" s="1">
        <v>18697.500000000004</v>
      </c>
      <c r="BK460" s="1"/>
    </row>
    <row r="461" spans="1:63" ht="16" thickBot="1" x14ac:dyDescent="0.25">
      <c r="A461" s="3">
        <v>461</v>
      </c>
      <c r="B461" s="3" t="s">
        <v>477</v>
      </c>
      <c r="C461" s="3" t="s">
        <v>543</v>
      </c>
      <c r="D461" s="1" t="s">
        <v>478</v>
      </c>
      <c r="E461" s="1"/>
      <c r="F461" s="1"/>
      <c r="G461" s="1" t="s">
        <v>102</v>
      </c>
      <c r="H461" s="1" t="s">
        <v>114</v>
      </c>
      <c r="I461" s="1"/>
      <c r="J461" s="113">
        <f>Table4[[#This Row],[total_cost_npr]]*(1/'Calculations &amp; Assumptions'!$C$6)</f>
        <v>1250356.8129330252</v>
      </c>
      <c r="K461" s="113">
        <f>Table4[[#This Row],[system_cost_npr_per_kwp]]*(1/'Calculations &amp; Assumptions'!$C$6)</f>
        <v>2298.4500237739435</v>
      </c>
      <c r="L461" s="23">
        <f>IF(Table4[[#This Row],[total_cost_inr]]&gt;0, Table4[[#This Row],[total_cost_inr]]*'Calculations &amp; Assumptions'!$C$7,IF(Table4[[#This Row],[total_cost_eur]]&gt;0,Table4[[#This Row],[total_cost_eur]]*'Calculations &amp; Assumptions'!$C$5,0))</f>
        <v>162421350</v>
      </c>
      <c r="M461" s="77">
        <f>IF(H461="smartmeter_1ph",Table4[[#This Row],[total_cost_npr]],Table4[[#This Row],[total_cost_npr]]/Table4[[#This Row],[pv_kWp]])</f>
        <v>298568.6580882353</v>
      </c>
      <c r="N461" s="1"/>
      <c r="O461" s="1">
        <f>Table4[[#This Row],[total_cost_inr]]/Table4[[#This Row],[pv_kWp]]</f>
        <v>0</v>
      </c>
      <c r="P461" s="1">
        <v>1249395</v>
      </c>
      <c r="Q461" s="1"/>
      <c r="R461" s="1"/>
      <c r="S461" s="1"/>
      <c r="T461" s="1">
        <v>544</v>
      </c>
      <c r="U461" s="1"/>
      <c r="V461" s="1"/>
      <c r="W461" s="1"/>
      <c r="X461" s="1"/>
      <c r="Y461" s="1"/>
      <c r="Z461" s="1"/>
      <c r="AA461" s="1"/>
      <c r="AB461" s="1"/>
      <c r="AC461" s="1"/>
      <c r="AD461" s="1">
        <v>758</v>
      </c>
      <c r="AE461" s="1"/>
      <c r="AF461" s="1"/>
      <c r="AG461" s="1"/>
      <c r="AH461" s="6"/>
      <c r="AI461" s="1"/>
      <c r="AJ461" s="1"/>
      <c r="AK461" s="1"/>
      <c r="AL461" s="1"/>
      <c r="AM461" s="1"/>
      <c r="AN461" s="1"/>
      <c r="AO461" s="1"/>
      <c r="AP461" s="1"/>
      <c r="AQ461" s="1"/>
      <c r="AR461" s="1"/>
      <c r="AS461" s="1" t="s">
        <v>491</v>
      </c>
      <c r="AT461" s="1" t="s">
        <v>492</v>
      </c>
      <c r="AU461" s="1">
        <v>0.85</v>
      </c>
      <c r="AV461" s="1">
        <v>2015</v>
      </c>
      <c r="AW461" s="1">
        <v>515000</v>
      </c>
      <c r="AX461" s="1">
        <v>141050</v>
      </c>
      <c r="AY461" s="1">
        <v>411345.00000000006</v>
      </c>
      <c r="AZ461" s="1">
        <v>0.1</v>
      </c>
      <c r="BA461" s="1">
        <v>22</v>
      </c>
      <c r="BB461" s="1">
        <v>1212000</v>
      </c>
      <c r="BC461" s="1">
        <v>1249395</v>
      </c>
      <c r="BD461" s="1">
        <v>22383</v>
      </c>
      <c r="BE461" s="1">
        <v>544</v>
      </c>
      <c r="BF461" s="1">
        <v>758</v>
      </c>
      <c r="BG461" s="1">
        <v>0.16</v>
      </c>
      <c r="BH461" s="1" t="s">
        <v>483</v>
      </c>
      <c r="BI461" s="1"/>
      <c r="BJ461" s="1">
        <v>18697.500000000004</v>
      </c>
      <c r="BK461" s="1"/>
    </row>
    <row r="462" spans="1:63" ht="16" thickBot="1" x14ac:dyDescent="0.25">
      <c r="A462" s="3">
        <v>462</v>
      </c>
      <c r="B462" s="3" t="s">
        <v>477</v>
      </c>
      <c r="C462" s="3" t="s">
        <v>543</v>
      </c>
      <c r="D462" s="1" t="s">
        <v>478</v>
      </c>
      <c r="E462" s="1"/>
      <c r="F462" s="1"/>
      <c r="G462" s="1" t="s">
        <v>102</v>
      </c>
      <c r="H462" s="1" t="s">
        <v>114</v>
      </c>
      <c r="I462" s="1"/>
      <c r="J462" s="113">
        <f>Table4[[#This Row],[total_cost_npr]]*(1/'Calculations &amp; Assumptions'!$C$6)</f>
        <v>1313405.3117782909</v>
      </c>
      <c r="K462" s="113">
        <f>Table4[[#This Row],[system_cost_npr_per_kwp]]*(1/'Calculations &amp; Assumptions'!$C$6)</f>
        <v>2094.7453138409742</v>
      </c>
      <c r="L462" s="23">
        <f>IF(Table4[[#This Row],[total_cost_inr]]&gt;0, Table4[[#This Row],[total_cost_inr]]*'Calculations &amp; Assumptions'!$C$7,IF(Table4[[#This Row],[total_cost_eur]]&gt;0,Table4[[#This Row],[total_cost_eur]]*'Calculations &amp; Assumptions'!$C$5,0))</f>
        <v>170611350</v>
      </c>
      <c r="M462" s="77">
        <f>IF(H462="smartmeter_1ph",Table4[[#This Row],[total_cost_npr]],Table4[[#This Row],[total_cost_npr]]/Table4[[#This Row],[pv_kWp]])</f>
        <v>272107.41626794258</v>
      </c>
      <c r="N462" s="1"/>
      <c r="O462" s="1">
        <f>Table4[[#This Row],[total_cost_inr]]/Table4[[#This Row],[pv_kWp]]</f>
        <v>0</v>
      </c>
      <c r="P462" s="1">
        <v>1312395</v>
      </c>
      <c r="Q462" s="1"/>
      <c r="R462" s="1"/>
      <c r="S462" s="1"/>
      <c r="T462" s="1">
        <v>627</v>
      </c>
      <c r="U462" s="1"/>
      <c r="V462" s="1"/>
      <c r="W462" s="1"/>
      <c r="X462" s="1"/>
      <c r="Y462" s="1"/>
      <c r="Z462" s="1"/>
      <c r="AA462" s="1"/>
      <c r="AB462" s="1"/>
      <c r="AC462" s="1"/>
      <c r="AD462" s="1">
        <v>840</v>
      </c>
      <c r="AE462" s="1"/>
      <c r="AF462" s="1"/>
      <c r="AG462" s="1"/>
      <c r="AH462" s="6"/>
      <c r="AI462" s="1"/>
      <c r="AJ462" s="1"/>
      <c r="AK462" s="1"/>
      <c r="AL462" s="1"/>
      <c r="AM462" s="1"/>
      <c r="AN462" s="1"/>
      <c r="AO462" s="1"/>
      <c r="AP462" s="1"/>
      <c r="AQ462" s="1"/>
      <c r="AR462" s="1"/>
      <c r="AS462" s="1" t="s">
        <v>491</v>
      </c>
      <c r="AT462" s="1" t="s">
        <v>492</v>
      </c>
      <c r="AU462" s="1">
        <v>0.9</v>
      </c>
      <c r="AV462" s="1">
        <v>2015</v>
      </c>
      <c r="AW462" s="1">
        <v>515000</v>
      </c>
      <c r="AX462" s="1">
        <v>141050</v>
      </c>
      <c r="AY462" s="1">
        <v>411345.00000000006</v>
      </c>
      <c r="AZ462" s="1">
        <v>0.1</v>
      </c>
      <c r="BA462" s="1">
        <v>22</v>
      </c>
      <c r="BB462" s="1">
        <v>1275000</v>
      </c>
      <c r="BC462" s="1">
        <v>1312395</v>
      </c>
      <c r="BD462" s="1">
        <v>14891</v>
      </c>
      <c r="BE462" s="1">
        <v>627</v>
      </c>
      <c r="BF462" s="1">
        <v>840</v>
      </c>
      <c r="BG462" s="1">
        <v>0.16</v>
      </c>
      <c r="BH462" s="1" t="s">
        <v>483</v>
      </c>
      <c r="BI462" s="1"/>
      <c r="BJ462" s="1">
        <v>18697.500000000004</v>
      </c>
      <c r="BK462" s="1"/>
    </row>
    <row r="463" spans="1:63" ht="16" thickBot="1" x14ac:dyDescent="0.25">
      <c r="A463" s="3">
        <v>463</v>
      </c>
      <c r="B463" s="3" t="s">
        <v>477</v>
      </c>
      <c r="C463" s="3" t="s">
        <v>543</v>
      </c>
      <c r="D463" s="1" t="s">
        <v>478</v>
      </c>
      <c r="E463" s="1"/>
      <c r="F463" s="1"/>
      <c r="G463" s="1" t="s">
        <v>102</v>
      </c>
      <c r="H463" s="1" t="s">
        <v>114</v>
      </c>
      <c r="I463" s="1"/>
      <c r="J463" s="113">
        <f>Table4[[#This Row],[total_cost_npr]]*(1/'Calculations &amp; Assumptions'!$C$6)</f>
        <v>257518.09083910697</v>
      </c>
      <c r="K463" s="113">
        <f>Table4[[#This Row],[system_cost_npr_per_kwp]]*(1/'Calculations &amp; Assumptions'!$C$6)</f>
        <v>25751.809083910699</v>
      </c>
      <c r="L463" s="23">
        <f>IF(Table4[[#This Row],[total_cost_inr]]&gt;0, Table4[[#This Row],[total_cost_inr]]*'Calculations &amp; Assumptions'!$C$7,IF(Table4[[#This Row],[total_cost_eur]]&gt;0,Table4[[#This Row],[total_cost_eur]]*'Calculations &amp; Assumptions'!$C$5,0))</f>
        <v>33451600</v>
      </c>
      <c r="M463" s="77">
        <f>IF(H463="smartmeter_1ph",Table4[[#This Row],[total_cost_npr]],Table4[[#This Row],[total_cost_npr]]/Table4[[#This Row],[pv_kWp]])</f>
        <v>3345160</v>
      </c>
      <c r="N463" s="1"/>
      <c r="O463" s="1">
        <f>Table4[[#This Row],[total_cost_inr]]/Table4[[#This Row],[pv_kWp]]</f>
        <v>0</v>
      </c>
      <c r="P463" s="1">
        <v>257320</v>
      </c>
      <c r="Q463" s="1"/>
      <c r="R463" s="1"/>
      <c r="S463" s="1"/>
      <c r="T463" s="1">
        <v>10</v>
      </c>
      <c r="U463" s="1"/>
      <c r="V463" s="1"/>
      <c r="W463" s="1"/>
      <c r="X463" s="1"/>
      <c r="Y463" s="1"/>
      <c r="Z463" s="1"/>
      <c r="AA463" s="1"/>
      <c r="AB463" s="1"/>
      <c r="AC463" s="1"/>
      <c r="AD463" s="1">
        <v>5</v>
      </c>
      <c r="AE463" s="1"/>
      <c r="AF463" s="1"/>
      <c r="AG463" s="1"/>
      <c r="AH463" s="6"/>
      <c r="AI463" s="1"/>
      <c r="AJ463" s="1"/>
      <c r="AK463" s="1"/>
      <c r="AL463" s="1"/>
      <c r="AM463" s="1"/>
      <c r="AN463" s="1"/>
      <c r="AO463" s="1"/>
      <c r="AP463" s="1"/>
      <c r="AQ463" s="1"/>
      <c r="AR463" s="1"/>
      <c r="AS463" s="1" t="s">
        <v>493</v>
      </c>
      <c r="AT463" s="1" t="s">
        <v>494</v>
      </c>
      <c r="AU463" s="1">
        <v>0.1</v>
      </c>
      <c r="AV463" s="1">
        <v>876</v>
      </c>
      <c r="AW463" s="1"/>
      <c r="AX463" s="1">
        <v>61320</v>
      </c>
      <c r="AY463" s="1"/>
      <c r="AZ463" s="1">
        <v>0.35</v>
      </c>
      <c r="BA463" s="1"/>
      <c r="BB463" s="1">
        <v>196000</v>
      </c>
      <c r="BC463" s="1">
        <v>257320</v>
      </c>
      <c r="BD463" s="1">
        <v>45614</v>
      </c>
      <c r="BE463" s="1">
        <v>10</v>
      </c>
      <c r="BF463" s="1">
        <v>5</v>
      </c>
      <c r="BG463" s="1">
        <v>0.11</v>
      </c>
      <c r="BH463" s="1" t="s">
        <v>481</v>
      </c>
      <c r="BI463" s="1"/>
      <c r="BJ463" s="1"/>
      <c r="BK463" s="1"/>
    </row>
    <row r="464" spans="1:63" ht="16" thickBot="1" x14ac:dyDescent="0.25">
      <c r="A464" s="3">
        <v>464</v>
      </c>
      <c r="B464" s="3" t="s">
        <v>477</v>
      </c>
      <c r="C464" s="3" t="s">
        <v>543</v>
      </c>
      <c r="D464" s="1" t="s">
        <v>478</v>
      </c>
      <c r="E464" s="1"/>
      <c r="F464" s="1"/>
      <c r="G464" s="1" t="s">
        <v>102</v>
      </c>
      <c r="H464" s="1" t="s">
        <v>114</v>
      </c>
      <c r="I464" s="1"/>
      <c r="J464" s="113">
        <f>Table4[[#This Row],[total_cost_npr]]*(1/'Calculations &amp; Assumptions'!$C$6)</f>
        <v>260520.40030792914</v>
      </c>
      <c r="K464" s="113">
        <f>Table4[[#This Row],[system_cost_npr_per_kwp]]*(1/'Calculations &amp; Assumptions'!$C$6)</f>
        <v>14473.355572662731</v>
      </c>
      <c r="L464" s="23">
        <f>IF(Table4[[#This Row],[total_cost_inr]]&gt;0, Table4[[#This Row],[total_cost_inr]]*'Calculations &amp; Assumptions'!$C$7,IF(Table4[[#This Row],[total_cost_eur]]&gt;0,Table4[[#This Row],[total_cost_eur]]*'Calculations &amp; Assumptions'!$C$5,0))</f>
        <v>33841600</v>
      </c>
      <c r="M464" s="77">
        <f>IF(H464="smartmeter_1ph",Table4[[#This Row],[total_cost_npr]],Table4[[#This Row],[total_cost_npr]]/Table4[[#This Row],[pv_kWp]])</f>
        <v>1880088.888888889</v>
      </c>
      <c r="N464" s="1"/>
      <c r="O464" s="1">
        <f>Table4[[#This Row],[total_cost_inr]]/Table4[[#This Row],[pv_kWp]]</f>
        <v>0</v>
      </c>
      <c r="P464" s="1">
        <v>260320</v>
      </c>
      <c r="Q464" s="1"/>
      <c r="R464" s="1"/>
      <c r="S464" s="1"/>
      <c r="T464" s="1">
        <v>18</v>
      </c>
      <c r="U464" s="1"/>
      <c r="V464" s="1"/>
      <c r="W464" s="1"/>
      <c r="X464" s="1"/>
      <c r="Y464" s="1"/>
      <c r="Z464" s="1"/>
      <c r="AA464" s="1"/>
      <c r="AB464" s="1"/>
      <c r="AC464" s="1"/>
      <c r="AD464" s="1">
        <v>5</v>
      </c>
      <c r="AE464" s="1"/>
      <c r="AF464" s="1"/>
      <c r="AG464" s="1"/>
      <c r="AH464" s="6"/>
      <c r="AI464" s="1"/>
      <c r="AJ464" s="1"/>
      <c r="AK464" s="1"/>
      <c r="AL464" s="1"/>
      <c r="AM464" s="1"/>
      <c r="AN464" s="1"/>
      <c r="AO464" s="1"/>
      <c r="AP464" s="1"/>
      <c r="AQ464" s="1"/>
      <c r="AR464" s="1"/>
      <c r="AS464" s="1" t="s">
        <v>493</v>
      </c>
      <c r="AT464" s="1" t="s">
        <v>494</v>
      </c>
      <c r="AU464" s="1">
        <v>0.15</v>
      </c>
      <c r="AV464" s="1">
        <v>876</v>
      </c>
      <c r="AW464" s="1"/>
      <c r="AX464" s="1">
        <v>61320</v>
      </c>
      <c r="AY464" s="1"/>
      <c r="AZ464" s="1">
        <v>0.35</v>
      </c>
      <c r="BA464" s="1"/>
      <c r="BB464" s="1">
        <v>199000</v>
      </c>
      <c r="BC464" s="1">
        <v>260320</v>
      </c>
      <c r="BD464" s="1">
        <v>43246</v>
      </c>
      <c r="BE464" s="1">
        <v>18</v>
      </c>
      <c r="BF464" s="1">
        <v>5</v>
      </c>
      <c r="BG464" s="1">
        <v>0.11</v>
      </c>
      <c r="BH464" s="1" t="s">
        <v>481</v>
      </c>
      <c r="BI464" s="1"/>
      <c r="BJ464" s="1"/>
      <c r="BK464" s="1"/>
    </row>
    <row r="465" spans="1:63" ht="16" thickBot="1" x14ac:dyDescent="0.25">
      <c r="A465" s="3">
        <v>465</v>
      </c>
      <c r="B465" s="3" t="s">
        <v>477</v>
      </c>
      <c r="C465" s="3" t="s">
        <v>543</v>
      </c>
      <c r="D465" s="1" t="s">
        <v>478</v>
      </c>
      <c r="E465" s="1"/>
      <c r="F465" s="1"/>
      <c r="G465" s="1" t="s">
        <v>102</v>
      </c>
      <c r="H465" s="1" t="s">
        <v>114</v>
      </c>
      <c r="I465" s="1"/>
      <c r="J465" s="113">
        <f>Table4[[#This Row],[total_cost_npr]]*(1/'Calculations &amp; Assumptions'!$C$6)</f>
        <v>265524.2494226328</v>
      </c>
      <c r="K465" s="113">
        <f>Table4[[#This Row],[system_cost_npr_per_kwp]]*(1/'Calculations &amp; Assumptions'!$C$6)</f>
        <v>8850.8083140877588</v>
      </c>
      <c r="L465" s="23">
        <f>IF(Table4[[#This Row],[total_cost_inr]]&gt;0, Table4[[#This Row],[total_cost_inr]]*'Calculations &amp; Assumptions'!$C$7,IF(Table4[[#This Row],[total_cost_eur]]&gt;0,Table4[[#This Row],[total_cost_eur]]*'Calculations &amp; Assumptions'!$C$5,0))</f>
        <v>34491600</v>
      </c>
      <c r="M465" s="77">
        <f>IF(H465="smartmeter_1ph",Table4[[#This Row],[total_cost_npr]],Table4[[#This Row],[total_cost_npr]]/Table4[[#This Row],[pv_kWp]])</f>
        <v>1149720</v>
      </c>
      <c r="N465" s="1"/>
      <c r="O465" s="1">
        <f>Table4[[#This Row],[total_cost_inr]]/Table4[[#This Row],[pv_kWp]]</f>
        <v>0</v>
      </c>
      <c r="P465" s="1">
        <v>265320</v>
      </c>
      <c r="Q465" s="1"/>
      <c r="R465" s="1"/>
      <c r="S465" s="1"/>
      <c r="T465" s="1">
        <v>30</v>
      </c>
      <c r="U465" s="1"/>
      <c r="V465" s="1"/>
      <c r="W465" s="1"/>
      <c r="X465" s="1"/>
      <c r="Y465" s="1"/>
      <c r="Z465" s="1"/>
      <c r="AA465" s="1"/>
      <c r="AB465" s="1"/>
      <c r="AC465" s="1"/>
      <c r="AD465" s="1">
        <v>5</v>
      </c>
      <c r="AE465" s="1"/>
      <c r="AF465" s="1"/>
      <c r="AG465" s="1"/>
      <c r="AH465" s="6"/>
      <c r="AI465" s="1"/>
      <c r="AJ465" s="1"/>
      <c r="AK465" s="1"/>
      <c r="AL465" s="1"/>
      <c r="AM465" s="1"/>
      <c r="AN465" s="1"/>
      <c r="AO465" s="1"/>
      <c r="AP465" s="1"/>
      <c r="AQ465" s="1"/>
      <c r="AR465" s="1"/>
      <c r="AS465" s="1" t="s">
        <v>493</v>
      </c>
      <c r="AT465" s="1" t="s">
        <v>494</v>
      </c>
      <c r="AU465" s="1">
        <v>0.2</v>
      </c>
      <c r="AV465" s="1">
        <v>876</v>
      </c>
      <c r="AW465" s="1"/>
      <c r="AX465" s="1">
        <v>61320</v>
      </c>
      <c r="AY465" s="1"/>
      <c r="AZ465" s="1">
        <v>0.35</v>
      </c>
      <c r="BA465" s="1"/>
      <c r="BB465" s="1">
        <v>204000</v>
      </c>
      <c r="BC465" s="1">
        <v>265320</v>
      </c>
      <c r="BD465" s="1">
        <v>41358</v>
      </c>
      <c r="BE465" s="1">
        <v>30</v>
      </c>
      <c r="BF465" s="1">
        <v>5</v>
      </c>
      <c r="BG465" s="1">
        <v>0.11</v>
      </c>
      <c r="BH465" s="1" t="s">
        <v>481</v>
      </c>
      <c r="BI465" s="1"/>
      <c r="BJ465" s="1"/>
      <c r="BK465" s="1"/>
    </row>
    <row r="466" spans="1:63" ht="16" thickBot="1" x14ac:dyDescent="0.25">
      <c r="A466" s="3">
        <v>466</v>
      </c>
      <c r="B466" s="3" t="s">
        <v>477</v>
      </c>
      <c r="C466" s="3" t="s">
        <v>543</v>
      </c>
      <c r="D466" s="1" t="s">
        <v>478</v>
      </c>
      <c r="E466" s="1"/>
      <c r="F466" s="1"/>
      <c r="G466" s="1" t="s">
        <v>102</v>
      </c>
      <c r="H466" s="1" t="s">
        <v>114</v>
      </c>
      <c r="I466" s="1"/>
      <c r="J466" s="113">
        <f>Table4[[#This Row],[total_cost_npr]]*(1/'Calculations &amp; Assumptions'!$C$6)</f>
        <v>279685.14241724403</v>
      </c>
      <c r="K466" s="113">
        <f>Table4[[#This Row],[system_cost_npr_per_kwp]]*(1/'Calculations &amp; Assumptions'!$C$6)</f>
        <v>6215.2253870498671</v>
      </c>
      <c r="L466" s="23">
        <f>IF(Table4[[#This Row],[total_cost_inr]]&gt;0, Table4[[#This Row],[total_cost_inr]]*'Calculations &amp; Assumptions'!$C$7,IF(Table4[[#This Row],[total_cost_eur]]&gt;0,Table4[[#This Row],[total_cost_eur]]*'Calculations &amp; Assumptions'!$C$5,0))</f>
        <v>36331100</v>
      </c>
      <c r="M466" s="77">
        <f>IF(H466="smartmeter_1ph",Table4[[#This Row],[total_cost_npr]],Table4[[#This Row],[total_cost_npr]]/Table4[[#This Row],[pv_kWp]])</f>
        <v>807357.77777777775</v>
      </c>
      <c r="N466" s="1"/>
      <c r="O466" s="1">
        <f>Table4[[#This Row],[total_cost_inr]]/Table4[[#This Row],[pv_kWp]]</f>
        <v>0</v>
      </c>
      <c r="P466" s="1">
        <v>279470</v>
      </c>
      <c r="Q466" s="1"/>
      <c r="R466" s="1"/>
      <c r="S466" s="1"/>
      <c r="T466" s="1">
        <v>45</v>
      </c>
      <c r="U466" s="1"/>
      <c r="V466" s="1"/>
      <c r="W466" s="1"/>
      <c r="X466" s="1"/>
      <c r="Y466" s="1"/>
      <c r="Z466" s="1"/>
      <c r="AA466" s="1"/>
      <c r="AB466" s="1"/>
      <c r="AC466" s="1"/>
      <c r="AD466" s="1">
        <v>15</v>
      </c>
      <c r="AE466" s="1"/>
      <c r="AF466" s="1"/>
      <c r="AG466" s="1"/>
      <c r="AH466" s="6"/>
      <c r="AI466" s="1"/>
      <c r="AJ466" s="1"/>
      <c r="AK466" s="1"/>
      <c r="AL466" s="1"/>
      <c r="AM466" s="1"/>
      <c r="AN466" s="1"/>
      <c r="AO466" s="1"/>
      <c r="AP466" s="1"/>
      <c r="AQ466" s="1"/>
      <c r="AR466" s="1"/>
      <c r="AS466" s="1" t="s">
        <v>493</v>
      </c>
      <c r="AT466" s="1" t="s">
        <v>494</v>
      </c>
      <c r="AU466" s="1">
        <v>0.25</v>
      </c>
      <c r="AV466" s="1">
        <v>876</v>
      </c>
      <c r="AW466" s="1"/>
      <c r="AX466" s="1">
        <v>61320</v>
      </c>
      <c r="AY466" s="1"/>
      <c r="AZ466" s="1">
        <v>0.35</v>
      </c>
      <c r="BA466" s="1"/>
      <c r="BB466" s="1">
        <v>218150</v>
      </c>
      <c r="BC466" s="1">
        <v>279470</v>
      </c>
      <c r="BD466" s="1">
        <v>38868</v>
      </c>
      <c r="BE466" s="1">
        <v>45</v>
      </c>
      <c r="BF466" s="1">
        <v>15</v>
      </c>
      <c r="BG466" s="1">
        <v>0.11</v>
      </c>
      <c r="BH466" s="1" t="s">
        <v>481</v>
      </c>
      <c r="BI466" s="1"/>
      <c r="BJ466" s="1"/>
      <c r="BK466" s="1"/>
    </row>
    <row r="467" spans="1:63" ht="16" thickBot="1" x14ac:dyDescent="0.25">
      <c r="A467" s="3">
        <v>467</v>
      </c>
      <c r="B467" s="3" t="s">
        <v>477</v>
      </c>
      <c r="C467" s="3" t="s">
        <v>543</v>
      </c>
      <c r="D467" s="1" t="s">
        <v>478</v>
      </c>
      <c r="E467" s="1"/>
      <c r="F467" s="1"/>
      <c r="G467" s="1" t="s">
        <v>102</v>
      </c>
      <c r="H467" s="1" t="s">
        <v>114</v>
      </c>
      <c r="I467" s="1"/>
      <c r="J467" s="113">
        <f>Table4[[#This Row],[total_cost_npr]]*(1/'Calculations &amp; Assumptions'!$C$6)</f>
        <v>289542.72517321014</v>
      </c>
      <c r="K467" s="113">
        <f>Table4[[#This Row],[system_cost_npr_per_kwp]]*(1/'Calculations &amp; Assumptions'!$C$6)</f>
        <v>6160.4835143236196</v>
      </c>
      <c r="L467" s="23">
        <f>IF(Table4[[#This Row],[total_cost_inr]]&gt;0, Table4[[#This Row],[total_cost_inr]]*'Calculations &amp; Assumptions'!$C$7,IF(Table4[[#This Row],[total_cost_eur]]&gt;0,Table4[[#This Row],[total_cost_eur]]*'Calculations &amp; Assumptions'!$C$5,0))</f>
        <v>37611600</v>
      </c>
      <c r="M467" s="77">
        <f>IF(H467="smartmeter_1ph",Table4[[#This Row],[total_cost_npr]],Table4[[#This Row],[total_cost_npr]]/Table4[[#This Row],[pv_kWp]])</f>
        <v>800246.80851063831</v>
      </c>
      <c r="N467" s="1"/>
      <c r="O467" s="1">
        <f>Table4[[#This Row],[total_cost_inr]]/Table4[[#This Row],[pv_kWp]]</f>
        <v>0</v>
      </c>
      <c r="P467" s="1">
        <v>289320</v>
      </c>
      <c r="Q467" s="1"/>
      <c r="R467" s="1"/>
      <c r="S467" s="1"/>
      <c r="T467" s="1">
        <v>47</v>
      </c>
      <c r="U467" s="1"/>
      <c r="V467" s="1"/>
      <c r="W467" s="1"/>
      <c r="X467" s="1"/>
      <c r="Y467" s="1"/>
      <c r="Z467" s="1"/>
      <c r="AA467" s="1"/>
      <c r="AB467" s="1"/>
      <c r="AC467" s="1"/>
      <c r="AD467" s="1">
        <v>29</v>
      </c>
      <c r="AE467" s="1"/>
      <c r="AF467" s="1"/>
      <c r="AG467" s="1"/>
      <c r="AH467" s="6"/>
      <c r="AI467" s="1"/>
      <c r="AJ467" s="1"/>
      <c r="AK467" s="1"/>
      <c r="AL467" s="1"/>
      <c r="AM467" s="1"/>
      <c r="AN467" s="1"/>
      <c r="AO467" s="1"/>
      <c r="AP467" s="1"/>
      <c r="AQ467" s="1"/>
      <c r="AR467" s="1"/>
      <c r="AS467" s="1" t="s">
        <v>493</v>
      </c>
      <c r="AT467" s="1" t="s">
        <v>494</v>
      </c>
      <c r="AU467" s="1">
        <v>0.3</v>
      </c>
      <c r="AV467" s="1">
        <v>876</v>
      </c>
      <c r="AW467" s="1"/>
      <c r="AX467" s="1">
        <v>61320</v>
      </c>
      <c r="AY467" s="1"/>
      <c r="AZ467" s="1">
        <v>0.35</v>
      </c>
      <c r="BA467" s="1"/>
      <c r="BB467" s="1">
        <v>228000</v>
      </c>
      <c r="BC467" s="1">
        <v>289320</v>
      </c>
      <c r="BD467" s="1">
        <v>36476</v>
      </c>
      <c r="BE467" s="1">
        <v>47</v>
      </c>
      <c r="BF467" s="1">
        <v>29</v>
      </c>
      <c r="BG467" s="1">
        <v>0.11</v>
      </c>
      <c r="BH467" s="1" t="s">
        <v>481</v>
      </c>
      <c r="BI467" s="1"/>
      <c r="BJ467" s="1"/>
      <c r="BK467" s="1"/>
    </row>
    <row r="468" spans="1:63" ht="16" thickBot="1" x14ac:dyDescent="0.25">
      <c r="A468" s="3">
        <v>468</v>
      </c>
      <c r="B468" s="3" t="s">
        <v>477</v>
      </c>
      <c r="C468" s="3" t="s">
        <v>543</v>
      </c>
      <c r="D468" s="1" t="s">
        <v>478</v>
      </c>
      <c r="E468" s="1"/>
      <c r="F468" s="1"/>
      <c r="G468" s="1" t="s">
        <v>102</v>
      </c>
      <c r="H468" s="1" t="s">
        <v>114</v>
      </c>
      <c r="I468" s="1"/>
      <c r="J468" s="113">
        <f>Table4[[#This Row],[total_cost_npr]]*(1/'Calculations &amp; Assumptions'!$C$6)</f>
        <v>336578.90685142414</v>
      </c>
      <c r="K468" s="113">
        <f>Table4[[#This Row],[system_cost_npr_per_kwp]]*(1/'Calculations &amp; Assumptions'!$C$6)</f>
        <v>3236.3356428021552</v>
      </c>
      <c r="L468" s="23">
        <f>IF(Table4[[#This Row],[total_cost_inr]]&gt;0, Table4[[#This Row],[total_cost_inr]]*'Calculations &amp; Assumptions'!$C$7,IF(Table4[[#This Row],[total_cost_eur]]&gt;0,Table4[[#This Row],[total_cost_eur]]*'Calculations &amp; Assumptions'!$C$5,0))</f>
        <v>43721600</v>
      </c>
      <c r="M468" s="77">
        <f>IF(H468="smartmeter_1ph",Table4[[#This Row],[total_cost_npr]],Table4[[#This Row],[total_cost_npr]]/Table4[[#This Row],[pv_kWp]])</f>
        <v>420400</v>
      </c>
      <c r="N468" s="1"/>
      <c r="O468" s="1">
        <f>Table4[[#This Row],[total_cost_inr]]/Table4[[#This Row],[pv_kWp]]</f>
        <v>0</v>
      </c>
      <c r="P468" s="1">
        <v>336320</v>
      </c>
      <c r="Q468" s="1"/>
      <c r="R468" s="1"/>
      <c r="S468" s="1"/>
      <c r="T468" s="1">
        <v>104</v>
      </c>
      <c r="U468" s="1"/>
      <c r="V468" s="1"/>
      <c r="W468" s="1"/>
      <c r="X468" s="1"/>
      <c r="Y468" s="1"/>
      <c r="Z468" s="1"/>
      <c r="AA468" s="1"/>
      <c r="AB468" s="1"/>
      <c r="AC468" s="1"/>
      <c r="AD468" s="1">
        <v>94</v>
      </c>
      <c r="AE468" s="1"/>
      <c r="AF468" s="1"/>
      <c r="AG468" s="1"/>
      <c r="AH468" s="6"/>
      <c r="AI468" s="1"/>
      <c r="AJ468" s="1"/>
      <c r="AK468" s="1"/>
      <c r="AL468" s="1"/>
      <c r="AM468" s="1"/>
      <c r="AN468" s="1"/>
      <c r="AO468" s="1"/>
      <c r="AP468" s="1"/>
      <c r="AQ468" s="1"/>
      <c r="AR468" s="1"/>
      <c r="AS468" s="1" t="s">
        <v>493</v>
      </c>
      <c r="AT468" s="1" t="s">
        <v>494</v>
      </c>
      <c r="AU468" s="1">
        <v>0.5</v>
      </c>
      <c r="AV468" s="1">
        <v>876</v>
      </c>
      <c r="AW468" s="1"/>
      <c r="AX468" s="1">
        <v>61320</v>
      </c>
      <c r="AY468" s="1"/>
      <c r="AZ468" s="1">
        <v>0.35</v>
      </c>
      <c r="BA468" s="1"/>
      <c r="BB468" s="1">
        <v>275000</v>
      </c>
      <c r="BC468" s="1">
        <v>336320</v>
      </c>
      <c r="BD468" s="1">
        <v>26276</v>
      </c>
      <c r="BE468" s="1">
        <v>104</v>
      </c>
      <c r="BF468" s="1">
        <v>94</v>
      </c>
      <c r="BG468" s="1">
        <v>0.11</v>
      </c>
      <c r="BH468" s="1" t="s">
        <v>481</v>
      </c>
      <c r="BI468" s="1"/>
      <c r="BJ468" s="1"/>
      <c r="BK468" s="1"/>
    </row>
    <row r="469" spans="1:63" ht="16" thickBot="1" x14ac:dyDescent="0.25">
      <c r="A469" s="3">
        <v>469</v>
      </c>
      <c r="B469" s="3" t="s">
        <v>477</v>
      </c>
      <c r="C469" s="3" t="s">
        <v>543</v>
      </c>
      <c r="D469" s="1" t="s">
        <v>478</v>
      </c>
      <c r="E469" s="1"/>
      <c r="F469" s="1"/>
      <c r="G469" s="1" t="s">
        <v>102</v>
      </c>
      <c r="H469" s="1" t="s">
        <v>114</v>
      </c>
      <c r="I469" s="1"/>
      <c r="J469" s="113">
        <f>Table4[[#This Row],[total_cost_npr]]*(1/'Calculations &amp; Assumptions'!$C$6)</f>
        <v>295547.34411085449</v>
      </c>
      <c r="K469" s="113">
        <f>Table4[[#This Row],[system_cost_npr_per_kwp]]*(1/'Calculations &amp; Assumptions'!$C$6)</f>
        <v>5095.6438639802491</v>
      </c>
      <c r="L469" s="23">
        <f>IF(Table4[[#This Row],[total_cost_inr]]&gt;0, Table4[[#This Row],[total_cost_inr]]*'Calculations &amp; Assumptions'!$C$7,IF(Table4[[#This Row],[total_cost_eur]]&gt;0,Table4[[#This Row],[total_cost_eur]]*'Calculations &amp; Assumptions'!$C$5,0))</f>
        <v>38391600</v>
      </c>
      <c r="M469" s="77">
        <f>IF(H469="smartmeter_1ph",Table4[[#This Row],[total_cost_npr]],Table4[[#This Row],[total_cost_npr]]/Table4[[#This Row],[pv_kWp]])</f>
        <v>661924.13793103443</v>
      </c>
      <c r="N469" s="1"/>
      <c r="O469" s="1">
        <f>Table4[[#This Row],[total_cost_inr]]/Table4[[#This Row],[pv_kWp]]</f>
        <v>0</v>
      </c>
      <c r="P469" s="1">
        <v>295320</v>
      </c>
      <c r="Q469" s="1"/>
      <c r="R469" s="1"/>
      <c r="S469" s="1"/>
      <c r="T469" s="1">
        <v>58</v>
      </c>
      <c r="U469" s="1"/>
      <c r="V469" s="1"/>
      <c r="W469" s="1"/>
      <c r="X469" s="1"/>
      <c r="Y469" s="1"/>
      <c r="Z469" s="1"/>
      <c r="AA469" s="1"/>
      <c r="AB469" s="1"/>
      <c r="AC469" s="1"/>
      <c r="AD469" s="1">
        <v>38</v>
      </c>
      <c r="AE469" s="1"/>
      <c r="AF469" s="1"/>
      <c r="AG469" s="1"/>
      <c r="AH469" s="6"/>
      <c r="AI469" s="1"/>
      <c r="AJ469" s="1"/>
      <c r="AK469" s="1"/>
      <c r="AL469" s="1"/>
      <c r="AM469" s="1"/>
      <c r="AN469" s="1"/>
      <c r="AO469" s="1"/>
      <c r="AP469" s="1"/>
      <c r="AQ469" s="1"/>
      <c r="AR469" s="1"/>
      <c r="AS469" s="1" t="s">
        <v>493</v>
      </c>
      <c r="AT469" s="1" t="s">
        <v>494</v>
      </c>
      <c r="AU469" s="1">
        <v>0.35</v>
      </c>
      <c r="AV469" s="1">
        <v>876</v>
      </c>
      <c r="AW469" s="1"/>
      <c r="AX469" s="1">
        <v>61320</v>
      </c>
      <c r="AY469" s="1"/>
      <c r="AZ469" s="1">
        <v>0.35</v>
      </c>
      <c r="BA469" s="1"/>
      <c r="BB469" s="1">
        <v>234000</v>
      </c>
      <c r="BC469" s="1">
        <v>295320</v>
      </c>
      <c r="BD469" s="1">
        <v>33780</v>
      </c>
      <c r="BE469" s="1">
        <v>58</v>
      </c>
      <c r="BF469" s="1">
        <v>38</v>
      </c>
      <c r="BG469" s="1">
        <v>0.11</v>
      </c>
      <c r="BH469" s="1" t="s">
        <v>481</v>
      </c>
      <c r="BI469" s="1"/>
      <c r="BJ469" s="1"/>
      <c r="BK469" s="1"/>
    </row>
    <row r="470" spans="1:63" ht="16" thickBot="1" x14ac:dyDescent="0.25">
      <c r="A470" s="3">
        <v>470</v>
      </c>
      <c r="B470" s="3" t="s">
        <v>477</v>
      </c>
      <c r="C470" s="3" t="s">
        <v>543</v>
      </c>
      <c r="D470" s="1" t="s">
        <v>478</v>
      </c>
      <c r="E470" s="1"/>
      <c r="F470" s="1"/>
      <c r="G470" s="1" t="s">
        <v>102</v>
      </c>
      <c r="H470" s="1" t="s">
        <v>114</v>
      </c>
      <c r="I470" s="1"/>
      <c r="J470" s="113">
        <f>Table4[[#This Row],[total_cost_npr]]*(1/'Calculations &amp; Assumptions'!$C$6)</f>
        <v>304554.27251732099</v>
      </c>
      <c r="K470" s="113">
        <f>Table4[[#This Row],[system_cost_npr_per_kwp]]*(1/'Calculations &amp; Assumptions'!$C$6)</f>
        <v>4350.7753216760148</v>
      </c>
      <c r="L470" s="23">
        <f>IF(Table4[[#This Row],[total_cost_inr]]&gt;0, Table4[[#This Row],[total_cost_inr]]*'Calculations &amp; Assumptions'!$C$7,IF(Table4[[#This Row],[total_cost_eur]]&gt;0,Table4[[#This Row],[total_cost_eur]]*'Calculations &amp; Assumptions'!$C$5,0))</f>
        <v>39561600</v>
      </c>
      <c r="M470" s="77">
        <f>IF(H470="smartmeter_1ph",Table4[[#This Row],[total_cost_npr]],Table4[[#This Row],[total_cost_npr]]/Table4[[#This Row],[pv_kWp]])</f>
        <v>565165.71428571432</v>
      </c>
      <c r="N470" s="1"/>
      <c r="O470" s="1">
        <f>Table4[[#This Row],[total_cost_inr]]/Table4[[#This Row],[pv_kWp]]</f>
        <v>0</v>
      </c>
      <c r="P470" s="1">
        <v>304320</v>
      </c>
      <c r="Q470" s="1"/>
      <c r="R470" s="1"/>
      <c r="S470" s="1"/>
      <c r="T470" s="1">
        <v>70</v>
      </c>
      <c r="U470" s="1"/>
      <c r="V470" s="1"/>
      <c r="W470" s="1"/>
      <c r="X470" s="1"/>
      <c r="Y470" s="1"/>
      <c r="Z470" s="1"/>
      <c r="AA470" s="1"/>
      <c r="AB470" s="1"/>
      <c r="AC470" s="1"/>
      <c r="AD470" s="1">
        <v>45</v>
      </c>
      <c r="AE470" s="1"/>
      <c r="AF470" s="1"/>
      <c r="AG470" s="1"/>
      <c r="AH470" s="6"/>
      <c r="AI470" s="1"/>
      <c r="AJ470" s="1"/>
      <c r="AK470" s="1"/>
      <c r="AL470" s="1"/>
      <c r="AM470" s="1"/>
      <c r="AN470" s="1"/>
      <c r="AO470" s="1"/>
      <c r="AP470" s="1"/>
      <c r="AQ470" s="1"/>
      <c r="AR470" s="1"/>
      <c r="AS470" s="1" t="s">
        <v>493</v>
      </c>
      <c r="AT470" s="1" t="s">
        <v>494</v>
      </c>
      <c r="AU470" s="1">
        <v>0.4</v>
      </c>
      <c r="AV470" s="1">
        <v>876</v>
      </c>
      <c r="AW470" s="1"/>
      <c r="AX470" s="1">
        <v>61320</v>
      </c>
      <c r="AY470" s="1"/>
      <c r="AZ470" s="1">
        <v>0.35</v>
      </c>
      <c r="BA470" s="1"/>
      <c r="BB470" s="1">
        <v>243000</v>
      </c>
      <c r="BC470" s="1">
        <v>304320</v>
      </c>
      <c r="BD470" s="1">
        <v>31690</v>
      </c>
      <c r="BE470" s="1">
        <v>70</v>
      </c>
      <c r="BF470" s="1">
        <v>45</v>
      </c>
      <c r="BG470" s="1">
        <v>0.11</v>
      </c>
      <c r="BH470" s="1" t="s">
        <v>481</v>
      </c>
      <c r="BI470" s="1"/>
      <c r="BJ470" s="1"/>
      <c r="BK470" s="1"/>
    </row>
    <row r="471" spans="1:63" ht="16" thickBot="1" x14ac:dyDescent="0.25">
      <c r="A471" s="3">
        <v>471</v>
      </c>
      <c r="B471" s="3" t="s">
        <v>477</v>
      </c>
      <c r="C471" s="3" t="s">
        <v>543</v>
      </c>
      <c r="D471" s="1" t="s">
        <v>478</v>
      </c>
      <c r="E471" s="1"/>
      <c r="F471" s="1"/>
      <c r="G471" s="1" t="s">
        <v>102</v>
      </c>
      <c r="H471" s="1" t="s">
        <v>114</v>
      </c>
      <c r="I471" s="1"/>
      <c r="J471" s="113">
        <f>Table4[[#This Row],[total_cost_npr]]*(1/'Calculations &amp; Assumptions'!$C$6)</f>
        <v>315562.74056966894</v>
      </c>
      <c r="K471" s="113">
        <f>Table4[[#This Row],[system_cost_npr_per_kwp]]*(1/'Calculations &amp; Assumptions'!$C$6)</f>
        <v>3606.4313207962168</v>
      </c>
      <c r="L471" s="23">
        <f>IF(Table4[[#This Row],[total_cost_inr]]&gt;0, Table4[[#This Row],[total_cost_inr]]*'Calculations &amp; Assumptions'!$C$7,IF(Table4[[#This Row],[total_cost_eur]]&gt;0,Table4[[#This Row],[total_cost_eur]]*'Calculations &amp; Assumptions'!$C$5,0))</f>
        <v>40991600</v>
      </c>
      <c r="M471" s="77">
        <f>IF(H471="smartmeter_1ph",Table4[[#This Row],[total_cost_npr]],Table4[[#This Row],[total_cost_npr]]/Table4[[#This Row],[pv_kWp]])</f>
        <v>468475.42857142858</v>
      </c>
      <c r="N471" s="1"/>
      <c r="O471" s="1">
        <f>Table4[[#This Row],[total_cost_inr]]/Table4[[#This Row],[pv_kWp]]</f>
        <v>0</v>
      </c>
      <c r="P471" s="1">
        <v>315320</v>
      </c>
      <c r="Q471" s="1"/>
      <c r="R471" s="1"/>
      <c r="S471" s="1"/>
      <c r="T471" s="1">
        <v>87.5</v>
      </c>
      <c r="U471" s="1"/>
      <c r="V471" s="1"/>
      <c r="W471" s="1"/>
      <c r="X471" s="1"/>
      <c r="Y471" s="1"/>
      <c r="Z471" s="1"/>
      <c r="AA471" s="1"/>
      <c r="AB471" s="1"/>
      <c r="AC471" s="1"/>
      <c r="AD471" s="1">
        <v>54</v>
      </c>
      <c r="AE471" s="1"/>
      <c r="AF471" s="1"/>
      <c r="AG471" s="1"/>
      <c r="AH471" s="6"/>
      <c r="AI471" s="1"/>
      <c r="AJ471" s="1"/>
      <c r="AK471" s="1"/>
      <c r="AL471" s="1"/>
      <c r="AM471" s="1"/>
      <c r="AN471" s="1"/>
      <c r="AO471" s="1"/>
      <c r="AP471" s="1"/>
      <c r="AQ471" s="1"/>
      <c r="AR471" s="1"/>
      <c r="AS471" s="1" t="s">
        <v>493</v>
      </c>
      <c r="AT471" s="1" t="s">
        <v>494</v>
      </c>
      <c r="AU471" s="1">
        <v>0.45</v>
      </c>
      <c r="AV471" s="1">
        <v>876</v>
      </c>
      <c r="AW471" s="1"/>
      <c r="AX471" s="1">
        <v>61320</v>
      </c>
      <c r="AY471" s="1"/>
      <c r="AZ471" s="1">
        <v>0.35</v>
      </c>
      <c r="BA471" s="1"/>
      <c r="BB471" s="1">
        <v>254000</v>
      </c>
      <c r="BC471" s="1">
        <v>315320</v>
      </c>
      <c r="BD471" s="1">
        <v>29000</v>
      </c>
      <c r="BE471" s="1">
        <v>87.5</v>
      </c>
      <c r="BF471" s="1">
        <v>54</v>
      </c>
      <c r="BG471" s="1">
        <v>0.11</v>
      </c>
      <c r="BH471" s="1" t="s">
        <v>481</v>
      </c>
      <c r="BI471" s="1"/>
      <c r="BJ471" s="1"/>
      <c r="BK471" s="1"/>
    </row>
    <row r="472" spans="1:63" ht="16" thickBot="1" x14ac:dyDescent="0.25">
      <c r="A472" s="3">
        <v>472</v>
      </c>
      <c r="B472" s="3" t="s">
        <v>477</v>
      </c>
      <c r="C472" s="3" t="s">
        <v>543</v>
      </c>
      <c r="D472" s="1" t="s">
        <v>478</v>
      </c>
      <c r="E472" s="1"/>
      <c r="F472" s="1"/>
      <c r="G472" s="1" t="s">
        <v>102</v>
      </c>
      <c r="H472" s="1" t="s">
        <v>114</v>
      </c>
      <c r="I472" s="1"/>
      <c r="J472" s="113">
        <f>Table4[[#This Row],[total_cost_npr]]*(1/'Calculations &amp; Assumptions'!$C$6)</f>
        <v>352591.22401847574</v>
      </c>
      <c r="K472" s="113">
        <f>Table4[[#This Row],[system_cost_npr_per_kwp]]*(1/'Calculations &amp; Assumptions'!$C$6)</f>
        <v>3039.5795174006525</v>
      </c>
      <c r="L472" s="23">
        <f>IF(Table4[[#This Row],[total_cost_inr]]&gt;0, Table4[[#This Row],[total_cost_inr]]*'Calculations &amp; Assumptions'!$C$7,IF(Table4[[#This Row],[total_cost_eur]]&gt;0,Table4[[#This Row],[total_cost_eur]]*'Calculations &amp; Assumptions'!$C$5,0))</f>
        <v>45801600</v>
      </c>
      <c r="M472" s="77">
        <f>IF(H472="smartmeter_1ph",Table4[[#This Row],[total_cost_npr]],Table4[[#This Row],[total_cost_npr]]/Table4[[#This Row],[pv_kWp]])</f>
        <v>394841.37931034481</v>
      </c>
      <c r="N472" s="1"/>
      <c r="O472" s="1">
        <f>Table4[[#This Row],[total_cost_inr]]/Table4[[#This Row],[pv_kWp]]</f>
        <v>0</v>
      </c>
      <c r="P472" s="1">
        <v>352320</v>
      </c>
      <c r="Q472" s="1"/>
      <c r="R472" s="1"/>
      <c r="S472" s="1"/>
      <c r="T472" s="1">
        <v>116</v>
      </c>
      <c r="U472" s="1"/>
      <c r="V472" s="1"/>
      <c r="W472" s="1"/>
      <c r="X472" s="1"/>
      <c r="Y472" s="1"/>
      <c r="Z472" s="1"/>
      <c r="AA472" s="1"/>
      <c r="AB472" s="1"/>
      <c r="AC472" s="1"/>
      <c r="AD472" s="1">
        <v>121</v>
      </c>
      <c r="AE472" s="1"/>
      <c r="AF472" s="1"/>
      <c r="AG472" s="1"/>
      <c r="AH472" s="6"/>
      <c r="AI472" s="1"/>
      <c r="AJ472" s="1"/>
      <c r="AK472" s="1"/>
      <c r="AL472" s="1"/>
      <c r="AM472" s="1"/>
      <c r="AN472" s="1"/>
      <c r="AO472" s="1"/>
      <c r="AP472" s="1"/>
      <c r="AQ472" s="1"/>
      <c r="AR472" s="1"/>
      <c r="AS472" s="1" t="s">
        <v>493</v>
      </c>
      <c r="AT472" s="1" t="s">
        <v>494</v>
      </c>
      <c r="AU472" s="1">
        <v>0.55000000000000004</v>
      </c>
      <c r="AV472" s="1">
        <v>876</v>
      </c>
      <c r="AW472" s="1"/>
      <c r="AX472" s="1">
        <v>61320</v>
      </c>
      <c r="AY472" s="1"/>
      <c r="AZ472" s="1">
        <v>0.35</v>
      </c>
      <c r="BA472" s="1"/>
      <c r="BB472" s="1">
        <v>291000</v>
      </c>
      <c r="BC472" s="1">
        <v>352320</v>
      </c>
      <c r="BD472" s="1">
        <v>23896</v>
      </c>
      <c r="BE472" s="1">
        <v>116</v>
      </c>
      <c r="BF472" s="1">
        <v>121</v>
      </c>
      <c r="BG472" s="1">
        <v>0.11</v>
      </c>
      <c r="BH472" s="1" t="s">
        <v>481</v>
      </c>
      <c r="BI472" s="1"/>
      <c r="BJ472" s="1"/>
      <c r="BK472" s="1"/>
    </row>
    <row r="473" spans="1:63" ht="16" thickBot="1" x14ac:dyDescent="0.25">
      <c r="A473" s="3">
        <v>473</v>
      </c>
      <c r="B473" s="3" t="s">
        <v>477</v>
      </c>
      <c r="C473" s="3" t="s">
        <v>543</v>
      </c>
      <c r="D473" s="1" t="s">
        <v>478</v>
      </c>
      <c r="E473" s="1"/>
      <c r="F473" s="1"/>
      <c r="G473" s="1" t="s">
        <v>102</v>
      </c>
      <c r="H473" s="1" t="s">
        <v>114</v>
      </c>
      <c r="I473" s="1"/>
      <c r="J473" s="113">
        <f>Table4[[#This Row],[total_cost_npr]]*(1/'Calculations &amp; Assumptions'!$C$6)</f>
        <v>368603.54118552728</v>
      </c>
      <c r="K473" s="113">
        <f>Table4[[#This Row],[system_cost_npr_per_kwp]]*(1/'Calculations &amp; Assumptions'!$C$6)</f>
        <v>3261.9782405798874</v>
      </c>
      <c r="L473" s="23">
        <f>IF(Table4[[#This Row],[total_cost_inr]]&gt;0, Table4[[#This Row],[total_cost_inr]]*'Calculations &amp; Assumptions'!$C$7,IF(Table4[[#This Row],[total_cost_eur]]&gt;0,Table4[[#This Row],[total_cost_eur]]*'Calculations &amp; Assumptions'!$C$5,0))</f>
        <v>47881600</v>
      </c>
      <c r="M473" s="77">
        <f>IF(H473="smartmeter_1ph",Table4[[#This Row],[total_cost_npr]],Table4[[#This Row],[total_cost_npr]]/Table4[[#This Row],[pv_kWp]])</f>
        <v>423730.97345132742</v>
      </c>
      <c r="N473" s="1"/>
      <c r="O473" s="1">
        <f>Table4[[#This Row],[total_cost_inr]]/Table4[[#This Row],[pv_kWp]]</f>
        <v>0</v>
      </c>
      <c r="P473" s="1">
        <v>368320</v>
      </c>
      <c r="Q473" s="1"/>
      <c r="R473" s="1"/>
      <c r="S473" s="1"/>
      <c r="T473" s="1">
        <v>113</v>
      </c>
      <c r="U473" s="1"/>
      <c r="V473" s="1"/>
      <c r="W473" s="1"/>
      <c r="X473" s="1"/>
      <c r="Y473" s="1"/>
      <c r="Z473" s="1"/>
      <c r="AA473" s="1"/>
      <c r="AB473" s="1"/>
      <c r="AC473" s="1"/>
      <c r="AD473" s="1">
        <v>155</v>
      </c>
      <c r="AE473" s="1"/>
      <c r="AF473" s="1"/>
      <c r="AG473" s="1"/>
      <c r="AH473" s="6"/>
      <c r="AI473" s="1"/>
      <c r="AJ473" s="1"/>
      <c r="AK473" s="1"/>
      <c r="AL473" s="1"/>
      <c r="AM473" s="1"/>
      <c r="AN473" s="1"/>
      <c r="AO473" s="1"/>
      <c r="AP473" s="1"/>
      <c r="AQ473" s="1"/>
      <c r="AR473" s="1"/>
      <c r="AS473" s="1" t="s">
        <v>493</v>
      </c>
      <c r="AT473" s="1" t="s">
        <v>494</v>
      </c>
      <c r="AU473" s="1">
        <v>0.6</v>
      </c>
      <c r="AV473" s="1">
        <v>876</v>
      </c>
      <c r="AW473" s="1"/>
      <c r="AX473" s="1">
        <v>61320</v>
      </c>
      <c r="AY473" s="1"/>
      <c r="AZ473" s="1">
        <v>0.35</v>
      </c>
      <c r="BA473" s="1"/>
      <c r="BB473" s="1">
        <v>307000</v>
      </c>
      <c r="BC473" s="1">
        <v>368320</v>
      </c>
      <c r="BD473" s="1">
        <v>21357</v>
      </c>
      <c r="BE473" s="1">
        <v>113</v>
      </c>
      <c r="BF473" s="1">
        <v>155</v>
      </c>
      <c r="BG473" s="1">
        <v>0.11</v>
      </c>
      <c r="BH473" s="1" t="s">
        <v>481</v>
      </c>
      <c r="BI473" s="1"/>
      <c r="BJ473" s="1"/>
      <c r="BK473" s="1"/>
    </row>
    <row r="474" spans="1:63" ht="16" thickBot="1" x14ac:dyDescent="0.25">
      <c r="A474" s="3">
        <v>474</v>
      </c>
      <c r="B474" s="3" t="s">
        <v>477</v>
      </c>
      <c r="C474" s="3" t="s">
        <v>543</v>
      </c>
      <c r="D474" s="1" t="s">
        <v>478</v>
      </c>
      <c r="E474" s="1"/>
      <c r="F474" s="1"/>
      <c r="G474" s="1" t="s">
        <v>102</v>
      </c>
      <c r="H474" s="1" t="s">
        <v>114</v>
      </c>
      <c r="I474" s="1"/>
      <c r="J474" s="113">
        <f>Table4[[#This Row],[total_cost_npr]]*(1/'Calculations &amp; Assumptions'!$C$6)</f>
        <v>385616.62817551958</v>
      </c>
      <c r="K474" s="113">
        <f>Table4[[#This Row],[system_cost_npr_per_kwp]]*(1/'Calculations &amp; Assumptions'!$C$6)</f>
        <v>3267.9375269111829</v>
      </c>
      <c r="L474" s="23">
        <f>IF(Table4[[#This Row],[total_cost_inr]]&gt;0, Table4[[#This Row],[total_cost_inr]]*'Calculations &amp; Assumptions'!$C$7,IF(Table4[[#This Row],[total_cost_eur]]&gt;0,Table4[[#This Row],[total_cost_eur]]*'Calculations &amp; Assumptions'!$C$5,0))</f>
        <v>50091600</v>
      </c>
      <c r="M474" s="77">
        <f>IF(H474="smartmeter_1ph",Table4[[#This Row],[total_cost_npr]],Table4[[#This Row],[total_cost_npr]]/Table4[[#This Row],[pv_kWp]])</f>
        <v>424505.0847457627</v>
      </c>
      <c r="N474" s="1"/>
      <c r="O474" s="1">
        <f>Table4[[#This Row],[total_cost_inr]]/Table4[[#This Row],[pv_kWp]]</f>
        <v>0</v>
      </c>
      <c r="P474" s="1">
        <v>385320</v>
      </c>
      <c r="Q474" s="1"/>
      <c r="R474" s="1"/>
      <c r="S474" s="1"/>
      <c r="T474" s="1">
        <v>118</v>
      </c>
      <c r="U474" s="1"/>
      <c r="V474" s="1"/>
      <c r="W474" s="1"/>
      <c r="X474" s="1"/>
      <c r="Y474" s="1"/>
      <c r="Z474" s="1"/>
      <c r="AA474" s="1"/>
      <c r="AB474" s="1"/>
      <c r="AC474" s="1"/>
      <c r="AD474" s="1">
        <v>193</v>
      </c>
      <c r="AE474" s="1"/>
      <c r="AF474" s="1"/>
      <c r="AG474" s="1"/>
      <c r="AH474" s="6"/>
      <c r="AI474" s="1"/>
      <c r="AJ474" s="1"/>
      <c r="AK474" s="1"/>
      <c r="AL474" s="1"/>
      <c r="AM474" s="1"/>
      <c r="AN474" s="1"/>
      <c r="AO474" s="1"/>
      <c r="AP474" s="1"/>
      <c r="AQ474" s="1"/>
      <c r="AR474" s="1"/>
      <c r="AS474" s="1" t="s">
        <v>493</v>
      </c>
      <c r="AT474" s="1" t="s">
        <v>494</v>
      </c>
      <c r="AU474" s="1">
        <v>0.65</v>
      </c>
      <c r="AV474" s="1">
        <v>876</v>
      </c>
      <c r="AW474" s="1"/>
      <c r="AX474" s="1">
        <v>61320</v>
      </c>
      <c r="AY474" s="1"/>
      <c r="AZ474" s="1">
        <v>0.35</v>
      </c>
      <c r="BA474" s="1"/>
      <c r="BB474" s="1">
        <v>324000</v>
      </c>
      <c r="BC474" s="1">
        <v>385320</v>
      </c>
      <c r="BD474" s="1">
        <v>18896</v>
      </c>
      <c r="BE474" s="1">
        <v>118</v>
      </c>
      <c r="BF474" s="1">
        <v>193</v>
      </c>
      <c r="BG474" s="1">
        <v>0.11</v>
      </c>
      <c r="BH474" s="1" t="s">
        <v>481</v>
      </c>
      <c r="BI474" s="1"/>
      <c r="BJ474" s="1"/>
      <c r="BK474" s="1"/>
    </row>
    <row r="475" spans="1:63" ht="16" thickBot="1" x14ac:dyDescent="0.25">
      <c r="A475" s="3">
        <v>475</v>
      </c>
      <c r="B475" s="3" t="s">
        <v>477</v>
      </c>
      <c r="C475" s="3" t="s">
        <v>543</v>
      </c>
      <c r="D475" s="1" t="s">
        <v>478</v>
      </c>
      <c r="E475" s="1"/>
      <c r="F475" s="1"/>
      <c r="G475" s="1" t="s">
        <v>102</v>
      </c>
      <c r="H475" s="1" t="s">
        <v>114</v>
      </c>
      <c r="I475" s="1"/>
      <c r="J475" s="113">
        <f>Table4[[#This Row],[total_cost_npr]]*(1/'Calculations &amp; Assumptions'!$C$6)</f>
        <v>401628.94534257118</v>
      </c>
      <c r="K475" s="113">
        <f>Table4[[#This Row],[system_cost_npr_per_kwp]]*(1/'Calculations &amp; Assumptions'!$C$6)</f>
        <v>3113.4026770741948</v>
      </c>
      <c r="L475" s="23">
        <f>IF(Table4[[#This Row],[total_cost_inr]]&gt;0, Table4[[#This Row],[total_cost_inr]]*'Calculations &amp; Assumptions'!$C$7,IF(Table4[[#This Row],[total_cost_eur]]&gt;0,Table4[[#This Row],[total_cost_eur]]*'Calculations &amp; Assumptions'!$C$5,0))</f>
        <v>52171600</v>
      </c>
      <c r="M475" s="77">
        <f>IF(H475="smartmeter_1ph",Table4[[#This Row],[total_cost_npr]],Table4[[#This Row],[total_cost_npr]]/Table4[[#This Row],[pv_kWp]])</f>
        <v>404431.00775193796</v>
      </c>
      <c r="N475" s="1"/>
      <c r="O475" s="1">
        <f>Table4[[#This Row],[total_cost_inr]]/Table4[[#This Row],[pv_kWp]]</f>
        <v>0</v>
      </c>
      <c r="P475" s="1">
        <v>401320</v>
      </c>
      <c r="Q475" s="1"/>
      <c r="R475" s="1"/>
      <c r="S475" s="1"/>
      <c r="T475" s="1">
        <v>129</v>
      </c>
      <c r="U475" s="1"/>
      <c r="V475" s="1"/>
      <c r="W475" s="1"/>
      <c r="X475" s="1"/>
      <c r="Y475" s="1"/>
      <c r="Z475" s="1"/>
      <c r="AA475" s="1"/>
      <c r="AB475" s="1"/>
      <c r="AC475" s="1"/>
      <c r="AD475" s="1">
        <v>221</v>
      </c>
      <c r="AE475" s="1"/>
      <c r="AF475" s="1"/>
      <c r="AG475" s="1"/>
      <c r="AH475" s="6"/>
      <c r="AI475" s="1"/>
      <c r="AJ475" s="1"/>
      <c r="AK475" s="1"/>
      <c r="AL475" s="1"/>
      <c r="AM475" s="1"/>
      <c r="AN475" s="1"/>
      <c r="AO475" s="1"/>
      <c r="AP475" s="1"/>
      <c r="AQ475" s="1"/>
      <c r="AR475" s="1"/>
      <c r="AS475" s="1" t="s">
        <v>493</v>
      </c>
      <c r="AT475" s="1" t="s">
        <v>494</v>
      </c>
      <c r="AU475" s="1">
        <v>0.7</v>
      </c>
      <c r="AV475" s="1">
        <v>876</v>
      </c>
      <c r="AW475" s="1"/>
      <c r="AX475" s="1">
        <v>61320</v>
      </c>
      <c r="AY475" s="1"/>
      <c r="AZ475" s="1">
        <v>0.35</v>
      </c>
      <c r="BA475" s="1"/>
      <c r="BB475" s="1">
        <v>340000</v>
      </c>
      <c r="BC475" s="1">
        <v>401320</v>
      </c>
      <c r="BD475" s="1">
        <v>16236</v>
      </c>
      <c r="BE475" s="1">
        <v>129</v>
      </c>
      <c r="BF475" s="1">
        <v>221</v>
      </c>
      <c r="BG475" s="1">
        <v>0.11</v>
      </c>
      <c r="BH475" s="1" t="s">
        <v>481</v>
      </c>
      <c r="BI475" s="1"/>
      <c r="BJ475" s="1"/>
      <c r="BK475" s="1"/>
    </row>
    <row r="476" spans="1:63" ht="16" thickBot="1" x14ac:dyDescent="0.25">
      <c r="A476" s="3">
        <v>476</v>
      </c>
      <c r="B476" s="3" t="s">
        <v>477</v>
      </c>
      <c r="C476" s="3" t="s">
        <v>543</v>
      </c>
      <c r="D476" s="1" t="s">
        <v>478</v>
      </c>
      <c r="E476" s="1"/>
      <c r="F476" s="1"/>
      <c r="G476" s="1" t="s">
        <v>102</v>
      </c>
      <c r="H476" s="1" t="s">
        <v>114</v>
      </c>
      <c r="I476" s="1"/>
      <c r="J476" s="113">
        <f>Table4[[#This Row],[total_cost_npr]]*(1/'Calculations &amp; Assumptions'!$C$6)</f>
        <v>416640.49268668203</v>
      </c>
      <c r="K476" s="113">
        <f>Table4[[#This Row],[system_cost_npr_per_kwp]]*(1/'Calculations &amp; Assumptions'!$C$6)</f>
        <v>3156.3673688385002</v>
      </c>
      <c r="L476" s="23">
        <f>IF(Table4[[#This Row],[total_cost_inr]]&gt;0, Table4[[#This Row],[total_cost_inr]]*'Calculations &amp; Assumptions'!$C$7,IF(Table4[[#This Row],[total_cost_eur]]&gt;0,Table4[[#This Row],[total_cost_eur]]*'Calculations &amp; Assumptions'!$C$5,0))</f>
        <v>54121600</v>
      </c>
      <c r="M476" s="77">
        <f>IF(H476="smartmeter_1ph",Table4[[#This Row],[total_cost_npr]],Table4[[#This Row],[total_cost_npr]]/Table4[[#This Row],[pv_kWp]])</f>
        <v>410012.12121212122</v>
      </c>
      <c r="N476" s="1"/>
      <c r="O476" s="1">
        <f>Table4[[#This Row],[total_cost_inr]]/Table4[[#This Row],[pv_kWp]]</f>
        <v>0</v>
      </c>
      <c r="P476" s="1">
        <v>416320</v>
      </c>
      <c r="Q476" s="1"/>
      <c r="R476" s="1"/>
      <c r="S476" s="1"/>
      <c r="T476" s="1">
        <v>132</v>
      </c>
      <c r="U476" s="1"/>
      <c r="V476" s="1"/>
      <c r="W476" s="1"/>
      <c r="X476" s="1"/>
      <c r="Y476" s="1"/>
      <c r="Z476" s="1"/>
      <c r="AA476" s="1"/>
      <c r="AB476" s="1"/>
      <c r="AC476" s="1"/>
      <c r="AD476" s="1">
        <v>263</v>
      </c>
      <c r="AE476" s="1"/>
      <c r="AF476" s="1"/>
      <c r="AG476" s="1"/>
      <c r="AH476" s="6"/>
      <c r="AI476" s="1"/>
      <c r="AJ476" s="1"/>
      <c r="AK476" s="1"/>
      <c r="AL476" s="1"/>
      <c r="AM476" s="1"/>
      <c r="AN476" s="1"/>
      <c r="AO476" s="1"/>
      <c r="AP476" s="1"/>
      <c r="AQ476" s="1"/>
      <c r="AR476" s="1"/>
      <c r="AS476" s="1" t="s">
        <v>493</v>
      </c>
      <c r="AT476" s="1" t="s">
        <v>494</v>
      </c>
      <c r="AU476" s="1">
        <v>0.75</v>
      </c>
      <c r="AV476" s="1">
        <v>876</v>
      </c>
      <c r="AW476" s="1"/>
      <c r="AX476" s="1">
        <v>61320</v>
      </c>
      <c r="AY476" s="1"/>
      <c r="AZ476" s="1">
        <v>0.35</v>
      </c>
      <c r="BA476" s="1"/>
      <c r="BB476" s="1">
        <v>355000</v>
      </c>
      <c r="BC476" s="1">
        <v>416320</v>
      </c>
      <c r="BD476" s="1">
        <v>13603</v>
      </c>
      <c r="BE476" s="1">
        <v>132</v>
      </c>
      <c r="BF476" s="1">
        <v>263</v>
      </c>
      <c r="BG476" s="1">
        <v>0.11</v>
      </c>
      <c r="BH476" s="1" t="s">
        <v>481</v>
      </c>
      <c r="BI476" s="1"/>
      <c r="BJ476" s="1"/>
      <c r="BK476" s="1"/>
    </row>
    <row r="477" spans="1:63" ht="16" thickBot="1" x14ac:dyDescent="0.25">
      <c r="A477" s="3">
        <v>477</v>
      </c>
      <c r="B477" s="3" t="s">
        <v>477</v>
      </c>
      <c r="C477" s="3" t="s">
        <v>543</v>
      </c>
      <c r="D477" s="1" t="s">
        <v>478</v>
      </c>
      <c r="E477" s="1"/>
      <c r="F477" s="1"/>
      <c r="G477" s="1" t="s">
        <v>102</v>
      </c>
      <c r="H477" s="1" t="s">
        <v>114</v>
      </c>
      <c r="I477" s="1"/>
      <c r="J477" s="113">
        <f>Table4[[#This Row],[total_cost_npr]]*(1/'Calculations &amp; Assumptions'!$C$6)</f>
        <v>439658.19861431868</v>
      </c>
      <c r="K477" s="113">
        <f>Table4[[#This Row],[system_cost_npr_per_kwp]]*(1/'Calculations &amp; Assumptions'!$C$6)</f>
        <v>3096.184497283934</v>
      </c>
      <c r="L477" s="23">
        <f>IF(Table4[[#This Row],[total_cost_inr]]&gt;0, Table4[[#This Row],[total_cost_inr]]*'Calculations &amp; Assumptions'!$C$7,IF(Table4[[#This Row],[total_cost_eur]]&gt;0,Table4[[#This Row],[total_cost_eur]]*'Calculations &amp; Assumptions'!$C$5,0))</f>
        <v>57111600</v>
      </c>
      <c r="M477" s="77">
        <f>IF(H477="smartmeter_1ph",Table4[[#This Row],[total_cost_npr]],Table4[[#This Row],[total_cost_npr]]/Table4[[#This Row],[pv_kWp]])</f>
        <v>402194.36619718309</v>
      </c>
      <c r="N477" s="1"/>
      <c r="O477" s="1">
        <f>Table4[[#This Row],[total_cost_inr]]/Table4[[#This Row],[pv_kWp]]</f>
        <v>0</v>
      </c>
      <c r="P477" s="1">
        <v>439320</v>
      </c>
      <c r="Q477" s="1"/>
      <c r="R477" s="1"/>
      <c r="S477" s="1"/>
      <c r="T477" s="1">
        <v>142</v>
      </c>
      <c r="U477" s="1"/>
      <c r="V477" s="1"/>
      <c r="W477" s="1"/>
      <c r="X477" s="1"/>
      <c r="Y477" s="1"/>
      <c r="Z477" s="1"/>
      <c r="AA477" s="1"/>
      <c r="AB477" s="1"/>
      <c r="AC477" s="1"/>
      <c r="AD477" s="1">
        <v>293</v>
      </c>
      <c r="AE477" s="1"/>
      <c r="AF477" s="1"/>
      <c r="AG477" s="1"/>
      <c r="AH477" s="6"/>
      <c r="AI477" s="1"/>
      <c r="AJ477" s="1"/>
      <c r="AK477" s="1"/>
      <c r="AL477" s="1"/>
      <c r="AM477" s="1"/>
      <c r="AN477" s="1"/>
      <c r="AO477" s="1"/>
      <c r="AP477" s="1"/>
      <c r="AQ477" s="1"/>
      <c r="AR477" s="1"/>
      <c r="AS477" s="1" t="s">
        <v>493</v>
      </c>
      <c r="AT477" s="1" t="s">
        <v>494</v>
      </c>
      <c r="AU477" s="1">
        <v>0.8</v>
      </c>
      <c r="AV477" s="1">
        <v>876</v>
      </c>
      <c r="AW477" s="1"/>
      <c r="AX477" s="1">
        <v>61320</v>
      </c>
      <c r="AY477" s="1"/>
      <c r="AZ477" s="1">
        <v>0.35</v>
      </c>
      <c r="BA477" s="1"/>
      <c r="BB477" s="1">
        <v>378000</v>
      </c>
      <c r="BC477" s="1">
        <v>439320</v>
      </c>
      <c r="BD477" s="1">
        <v>10408</v>
      </c>
      <c r="BE477" s="1">
        <v>142</v>
      </c>
      <c r="BF477" s="1">
        <v>293</v>
      </c>
      <c r="BG477" s="1">
        <v>0.11</v>
      </c>
      <c r="BH477" s="1" t="s">
        <v>481</v>
      </c>
      <c r="BI477" s="1"/>
      <c r="BJ477" s="1"/>
      <c r="BK477" s="1"/>
    </row>
    <row r="478" spans="1:63" ht="16" thickBot="1" x14ac:dyDescent="0.25">
      <c r="A478" s="3">
        <v>478</v>
      </c>
      <c r="B478" s="3" t="s">
        <v>477</v>
      </c>
      <c r="C478" s="3" t="s">
        <v>543</v>
      </c>
      <c r="D478" s="1" t="s">
        <v>478</v>
      </c>
      <c r="E478" s="1"/>
      <c r="F478" s="1"/>
      <c r="G478" s="1" t="s">
        <v>102</v>
      </c>
      <c r="H478" s="1" t="s">
        <v>114</v>
      </c>
      <c r="I478" s="1"/>
      <c r="J478" s="113">
        <f>Table4[[#This Row],[total_cost_npr]]*(1/'Calculations &amp; Assumptions'!$C$6)</f>
        <v>456671.28560431098</v>
      </c>
      <c r="K478" s="113">
        <f>Table4[[#This Row],[system_cost_npr_per_kwp]]*(1/'Calculations &amp; Assumptions'!$C$6)</f>
        <v>2872.1464503415787</v>
      </c>
      <c r="L478" s="23">
        <f>IF(Table4[[#This Row],[total_cost_inr]]&gt;0, Table4[[#This Row],[total_cost_inr]]*'Calculations &amp; Assumptions'!$C$7,IF(Table4[[#This Row],[total_cost_eur]]&gt;0,Table4[[#This Row],[total_cost_eur]]*'Calculations &amp; Assumptions'!$C$5,0))</f>
        <v>59321600</v>
      </c>
      <c r="M478" s="77">
        <f>IF(H478="smartmeter_1ph",Table4[[#This Row],[total_cost_npr]],Table4[[#This Row],[total_cost_npr]]/Table4[[#This Row],[pv_kWp]])</f>
        <v>373091.82389937108</v>
      </c>
      <c r="N478" s="1"/>
      <c r="O478" s="1">
        <f>Table4[[#This Row],[total_cost_inr]]/Table4[[#This Row],[pv_kWp]]</f>
        <v>0</v>
      </c>
      <c r="P478" s="1">
        <v>456320</v>
      </c>
      <c r="Q478" s="1"/>
      <c r="R478" s="1"/>
      <c r="S478" s="1"/>
      <c r="T478" s="1">
        <v>159</v>
      </c>
      <c r="U478" s="1"/>
      <c r="V478" s="1"/>
      <c r="W478" s="1"/>
      <c r="X478" s="1"/>
      <c r="Y478" s="1"/>
      <c r="Z478" s="1"/>
      <c r="AA478" s="1"/>
      <c r="AB478" s="1"/>
      <c r="AC478" s="1"/>
      <c r="AD478" s="1">
        <v>319</v>
      </c>
      <c r="AE478" s="1"/>
      <c r="AF478" s="1"/>
      <c r="AG478" s="1"/>
      <c r="AH478" s="6"/>
      <c r="AI478" s="1"/>
      <c r="AJ478" s="1"/>
      <c r="AK478" s="1"/>
      <c r="AL478" s="1"/>
      <c r="AM478" s="1"/>
      <c r="AN478" s="1"/>
      <c r="AO478" s="1"/>
      <c r="AP478" s="1"/>
      <c r="AQ478" s="1"/>
      <c r="AR478" s="1"/>
      <c r="AS478" s="1" t="s">
        <v>493</v>
      </c>
      <c r="AT478" s="1" t="s">
        <v>494</v>
      </c>
      <c r="AU478" s="1">
        <v>0.85</v>
      </c>
      <c r="AV478" s="1">
        <v>876</v>
      </c>
      <c r="AW478" s="1"/>
      <c r="AX478" s="1">
        <v>61320</v>
      </c>
      <c r="AY478" s="1"/>
      <c r="AZ478" s="1">
        <v>0.35</v>
      </c>
      <c r="BA478" s="1"/>
      <c r="BB478" s="1">
        <v>395000</v>
      </c>
      <c r="BC478" s="1">
        <v>456320</v>
      </c>
      <c r="BD478" s="1">
        <v>8114</v>
      </c>
      <c r="BE478" s="1">
        <v>159</v>
      </c>
      <c r="BF478" s="1">
        <v>319</v>
      </c>
      <c r="BG478" s="1">
        <v>0.11</v>
      </c>
      <c r="BH478" s="1" t="s">
        <v>481</v>
      </c>
      <c r="BI478" s="1"/>
      <c r="BJ478" s="1"/>
      <c r="BK478" s="1"/>
    </row>
    <row r="479" spans="1:63" ht="16" thickBot="1" x14ac:dyDescent="0.25">
      <c r="A479" s="3">
        <v>479</v>
      </c>
      <c r="B479" s="3" t="s">
        <v>477</v>
      </c>
      <c r="C479" s="3" t="s">
        <v>543</v>
      </c>
      <c r="D479" s="1" t="s">
        <v>478</v>
      </c>
      <c r="E479" s="1"/>
      <c r="F479" s="1"/>
      <c r="G479" s="1" t="s">
        <v>102</v>
      </c>
      <c r="H479" s="1" t="s">
        <v>114</v>
      </c>
      <c r="I479" s="1"/>
      <c r="J479" s="113">
        <f>Table4[[#This Row],[total_cost_npr]]*(1/'Calculations &amp; Assumptions'!$C$6)</f>
        <v>481690.53117782908</v>
      </c>
      <c r="K479" s="113">
        <f>Table4[[#This Row],[system_cost_npr_per_kwp]]*(1/'Calculations &amp; Assumptions'!$C$6)</f>
        <v>2784.3383305076823</v>
      </c>
      <c r="L479" s="23">
        <f>IF(Table4[[#This Row],[total_cost_inr]]&gt;0, Table4[[#This Row],[total_cost_inr]]*'Calculations &amp; Assumptions'!$C$7,IF(Table4[[#This Row],[total_cost_eur]]&gt;0,Table4[[#This Row],[total_cost_eur]]*'Calculations &amp; Assumptions'!$C$5,0))</f>
        <v>62571600</v>
      </c>
      <c r="M479" s="77">
        <f>IF(H479="smartmeter_1ph",Table4[[#This Row],[total_cost_npr]],Table4[[#This Row],[total_cost_npr]]/Table4[[#This Row],[pv_kWp]])</f>
        <v>361685.54913294798</v>
      </c>
      <c r="N479" s="1"/>
      <c r="O479" s="1">
        <f>Table4[[#This Row],[total_cost_inr]]/Table4[[#This Row],[pv_kWp]]</f>
        <v>0</v>
      </c>
      <c r="P479" s="1">
        <v>481320</v>
      </c>
      <c r="Q479" s="1"/>
      <c r="R479" s="1"/>
      <c r="S479" s="1"/>
      <c r="T479" s="1">
        <v>173</v>
      </c>
      <c r="U479" s="1"/>
      <c r="V479" s="1"/>
      <c r="W479" s="1"/>
      <c r="X479" s="1"/>
      <c r="Y479" s="1"/>
      <c r="Z479" s="1"/>
      <c r="AA479" s="1"/>
      <c r="AB479" s="1"/>
      <c r="AC479" s="1"/>
      <c r="AD479" s="1">
        <v>365</v>
      </c>
      <c r="AE479" s="1"/>
      <c r="AF479" s="1"/>
      <c r="AG479" s="1"/>
      <c r="AH479" s="6"/>
      <c r="AI479" s="1"/>
      <c r="AJ479" s="1"/>
      <c r="AK479" s="1"/>
      <c r="AL479" s="1"/>
      <c r="AM479" s="1"/>
      <c r="AN479" s="1"/>
      <c r="AO479" s="1"/>
      <c r="AP479" s="1"/>
      <c r="AQ479" s="1"/>
      <c r="AR479" s="1"/>
      <c r="AS479" s="1" t="s">
        <v>493</v>
      </c>
      <c r="AT479" s="1" t="s">
        <v>494</v>
      </c>
      <c r="AU479" s="1">
        <v>0.9</v>
      </c>
      <c r="AV479" s="1">
        <v>876</v>
      </c>
      <c r="AW479" s="1"/>
      <c r="AX479" s="1">
        <v>61320</v>
      </c>
      <c r="AY479" s="1"/>
      <c r="AZ479" s="1">
        <v>0.35</v>
      </c>
      <c r="BA479" s="1"/>
      <c r="BB479" s="1">
        <v>420000</v>
      </c>
      <c r="BC479" s="1">
        <v>481320</v>
      </c>
      <c r="BD479" s="1">
        <v>5573</v>
      </c>
      <c r="BE479" s="1">
        <v>173</v>
      </c>
      <c r="BF479" s="1">
        <v>365</v>
      </c>
      <c r="BG479" s="1">
        <v>0.11</v>
      </c>
      <c r="BH479" s="1" t="s">
        <v>481</v>
      </c>
      <c r="BI479" s="1"/>
      <c r="BJ479" s="1"/>
      <c r="BK479" s="1"/>
    </row>
    <row r="480" spans="1:63" ht="16" thickBot="1" x14ac:dyDescent="0.25">
      <c r="A480" s="3">
        <v>480</v>
      </c>
      <c r="B480" s="3" t="s">
        <v>477</v>
      </c>
      <c r="C480" s="3" t="s">
        <v>543</v>
      </c>
      <c r="D480" s="1" t="s">
        <v>478</v>
      </c>
      <c r="E480" s="1"/>
      <c r="F480" s="1"/>
      <c r="G480" s="1" t="s">
        <v>102</v>
      </c>
      <c r="H480" s="1" t="s">
        <v>114</v>
      </c>
      <c r="I480" s="1"/>
      <c r="J480" s="113">
        <f>Table4[[#This Row],[total_cost_npr]]*(1/'Calculations &amp; Assumptions'!$C$6)</f>
        <v>836444.21862971503</v>
      </c>
      <c r="K480" s="113">
        <f>Table4[[#This Row],[system_cost_npr_per_kwp]]*(1/'Calculations &amp; Assumptions'!$C$6)</f>
        <v>16085.465742879136</v>
      </c>
      <c r="L480" s="23">
        <f>IF(Table4[[#This Row],[total_cost_inr]]&gt;0, Table4[[#This Row],[total_cost_inr]]*'Calculations &amp; Assumptions'!$C$7,IF(Table4[[#This Row],[total_cost_eur]]&gt;0,Table4[[#This Row],[total_cost_eur]]*'Calculations &amp; Assumptions'!$C$5,0))</f>
        <v>108654104</v>
      </c>
      <c r="M480" s="77">
        <f>IF(H480="smartmeter_1ph",Table4[[#This Row],[total_cost_npr]],Table4[[#This Row],[total_cost_npr]]/Table4[[#This Row],[pv_kWp]])</f>
        <v>2089502</v>
      </c>
      <c r="N480" s="1"/>
      <c r="O480" s="1">
        <f>Table4[[#This Row],[total_cost_inr]]/Table4[[#This Row],[pv_kWp]]</f>
        <v>0</v>
      </c>
      <c r="P480" s="1">
        <v>835800.8</v>
      </c>
      <c r="Q480" s="1"/>
      <c r="R480" s="1"/>
      <c r="S480" s="1"/>
      <c r="T480" s="1">
        <v>52</v>
      </c>
      <c r="U480" s="1"/>
      <c r="V480" s="1"/>
      <c r="W480" s="1"/>
      <c r="X480" s="1"/>
      <c r="Y480" s="1"/>
      <c r="Z480" s="1"/>
      <c r="AA480" s="1"/>
      <c r="AB480" s="1"/>
      <c r="AC480" s="1"/>
      <c r="AD480" s="1">
        <v>10</v>
      </c>
      <c r="AE480" s="1"/>
      <c r="AF480" s="1"/>
      <c r="AG480" s="1"/>
      <c r="AH480" s="6"/>
      <c r="AI480" s="1"/>
      <c r="AJ480" s="1"/>
      <c r="AK480" s="1"/>
      <c r="AL480" s="1"/>
      <c r="AM480" s="1"/>
      <c r="AN480" s="1"/>
      <c r="AO480" s="1"/>
      <c r="AP480" s="1"/>
      <c r="AQ480" s="1"/>
      <c r="AR480" s="1"/>
      <c r="AS480" s="1" t="s">
        <v>495</v>
      </c>
      <c r="AT480" s="1" t="s">
        <v>496</v>
      </c>
      <c r="AU480" s="1">
        <v>0.1</v>
      </c>
      <c r="AV480" s="1">
        <v>2253</v>
      </c>
      <c r="AW480" s="1">
        <v>399712</v>
      </c>
      <c r="AX480" s="1">
        <v>157710</v>
      </c>
      <c r="AY480" s="1">
        <v>338802.8</v>
      </c>
      <c r="AZ480" s="1">
        <v>0.4</v>
      </c>
      <c r="BA480" s="1"/>
      <c r="BB480" s="1">
        <v>739000</v>
      </c>
      <c r="BC480" s="1">
        <v>835800.8</v>
      </c>
      <c r="BD480" s="1">
        <v>209819</v>
      </c>
      <c r="BE480" s="1">
        <v>52</v>
      </c>
      <c r="BF480" s="1">
        <v>10</v>
      </c>
      <c r="BG480" s="1">
        <v>0.13</v>
      </c>
      <c r="BH480" s="1" t="s">
        <v>481</v>
      </c>
      <c r="BI480" s="1"/>
      <c r="BJ480" s="1"/>
      <c r="BK480" s="1"/>
    </row>
    <row r="481" spans="1:63" ht="16" thickBot="1" x14ac:dyDescent="0.25">
      <c r="A481" s="3">
        <v>481</v>
      </c>
      <c r="B481" s="3" t="s">
        <v>477</v>
      </c>
      <c r="C481" s="3" t="s">
        <v>543</v>
      </c>
      <c r="D481" s="1" t="s">
        <v>478</v>
      </c>
      <c r="E481" s="1"/>
      <c r="F481" s="1"/>
      <c r="G481" s="1" t="s">
        <v>102</v>
      </c>
      <c r="H481" s="1" t="s">
        <v>114</v>
      </c>
      <c r="I481" s="1"/>
      <c r="J481" s="113">
        <f>Table4[[#This Row],[total_cost_npr]]*(1/'Calculations &amp; Assumptions'!$C$6)</f>
        <v>850454.99615088524</v>
      </c>
      <c r="K481" s="113">
        <f>Table4[[#This Row],[system_cost_npr_per_kwp]]*(1/'Calculations &amp; Assumptions'!$C$6)</f>
        <v>10005.352895892767</v>
      </c>
      <c r="L481" s="23">
        <f>IF(Table4[[#This Row],[total_cost_inr]]&gt;0, Table4[[#This Row],[total_cost_inr]]*'Calculations &amp; Assumptions'!$C$7,IF(Table4[[#This Row],[total_cost_eur]]&gt;0,Table4[[#This Row],[total_cost_eur]]*'Calculations &amp; Assumptions'!$C$5,0))</f>
        <v>110474104</v>
      </c>
      <c r="M481" s="77">
        <f>IF(H481="smartmeter_1ph",Table4[[#This Row],[total_cost_npr]],Table4[[#This Row],[total_cost_npr]]/Table4[[#This Row],[pv_kWp]])</f>
        <v>1299695.3411764705</v>
      </c>
      <c r="N481" s="1"/>
      <c r="O481" s="1">
        <f>Table4[[#This Row],[total_cost_inr]]/Table4[[#This Row],[pv_kWp]]</f>
        <v>0</v>
      </c>
      <c r="P481" s="1">
        <v>849800.8</v>
      </c>
      <c r="Q481" s="1"/>
      <c r="R481" s="1"/>
      <c r="S481" s="1"/>
      <c r="T481" s="1">
        <v>85</v>
      </c>
      <c r="U481" s="1"/>
      <c r="V481" s="1"/>
      <c r="W481" s="1"/>
      <c r="X481" s="1"/>
      <c r="Y481" s="1"/>
      <c r="Z481" s="1"/>
      <c r="AA481" s="1"/>
      <c r="AB481" s="1"/>
      <c r="AC481" s="1"/>
      <c r="AD481" s="1">
        <v>10</v>
      </c>
      <c r="AE481" s="1"/>
      <c r="AF481" s="1"/>
      <c r="AG481" s="1"/>
      <c r="AH481" s="6"/>
      <c r="AI481" s="1"/>
      <c r="AJ481" s="1"/>
      <c r="AK481" s="1"/>
      <c r="AL481" s="1"/>
      <c r="AM481" s="1"/>
      <c r="AN481" s="1"/>
      <c r="AO481" s="1"/>
      <c r="AP481" s="1"/>
      <c r="AQ481" s="1"/>
      <c r="AR481" s="1"/>
      <c r="AS481" s="1" t="s">
        <v>495</v>
      </c>
      <c r="AT481" s="1" t="s">
        <v>496</v>
      </c>
      <c r="AU481" s="1">
        <v>0.15</v>
      </c>
      <c r="AV481" s="1">
        <v>2253</v>
      </c>
      <c r="AW481" s="1">
        <v>399712</v>
      </c>
      <c r="AX481" s="1">
        <v>157710</v>
      </c>
      <c r="AY481" s="1">
        <v>338802.8</v>
      </c>
      <c r="AZ481" s="1">
        <v>0.4</v>
      </c>
      <c r="BA481" s="1">
        <v>22</v>
      </c>
      <c r="BB481" s="1">
        <v>753000</v>
      </c>
      <c r="BC481" s="1">
        <v>849800.8</v>
      </c>
      <c r="BD481" s="1">
        <v>197607</v>
      </c>
      <c r="BE481" s="1">
        <v>85</v>
      </c>
      <c r="BF481" s="1">
        <v>10</v>
      </c>
      <c r="BG481" s="1">
        <v>0.13</v>
      </c>
      <c r="BH481" s="1" t="s">
        <v>481</v>
      </c>
      <c r="BI481" s="1"/>
      <c r="BJ481" s="1">
        <v>15400.127272727272</v>
      </c>
      <c r="BK481" s="1"/>
    </row>
    <row r="482" spans="1:63" ht="16" thickBot="1" x14ac:dyDescent="0.25">
      <c r="A482" s="3">
        <v>482</v>
      </c>
      <c r="B482" s="3" t="s">
        <v>477</v>
      </c>
      <c r="C482" s="3" t="s">
        <v>543</v>
      </c>
      <c r="D482" s="1" t="s">
        <v>478</v>
      </c>
      <c r="E482" s="1"/>
      <c r="F482" s="1"/>
      <c r="G482" s="1" t="s">
        <v>102</v>
      </c>
      <c r="H482" s="1" t="s">
        <v>114</v>
      </c>
      <c r="I482" s="1"/>
      <c r="J482" s="113">
        <f>Table4[[#This Row],[total_cost_npr]]*(1/'Calculations &amp; Assumptions'!$C$6)</f>
        <v>863465.00384911464</v>
      </c>
      <c r="K482" s="113">
        <f>Table4[[#This Row],[system_cost_npr_per_kwp]]*(1/'Calculations &amp; Assumptions'!$C$6)</f>
        <v>7508.3913378183888</v>
      </c>
      <c r="L482" s="23">
        <f>IF(Table4[[#This Row],[total_cost_inr]]&gt;0, Table4[[#This Row],[total_cost_inr]]*'Calculations &amp; Assumptions'!$C$7,IF(Table4[[#This Row],[total_cost_eur]]&gt;0,Table4[[#This Row],[total_cost_eur]]*'Calculations &amp; Assumptions'!$C$5,0))</f>
        <v>112164104</v>
      </c>
      <c r="M482" s="77">
        <f>IF(H482="smartmeter_1ph",Table4[[#This Row],[total_cost_npr]],Table4[[#This Row],[total_cost_npr]]/Table4[[#This Row],[pv_kWp]])</f>
        <v>975340.03478260874</v>
      </c>
      <c r="N482" s="1"/>
      <c r="O482" s="1">
        <f>Table4[[#This Row],[total_cost_inr]]/Table4[[#This Row],[pv_kWp]]</f>
        <v>0</v>
      </c>
      <c r="P482" s="1">
        <v>862800.8</v>
      </c>
      <c r="Q482" s="1"/>
      <c r="R482" s="1"/>
      <c r="S482" s="1"/>
      <c r="T482" s="1">
        <v>115</v>
      </c>
      <c r="U482" s="1"/>
      <c r="V482" s="1"/>
      <c r="W482" s="1"/>
      <c r="X482" s="1"/>
      <c r="Y482" s="1"/>
      <c r="Z482" s="1"/>
      <c r="AA482" s="1"/>
      <c r="AB482" s="1"/>
      <c r="AC482" s="1"/>
      <c r="AD482" s="1">
        <v>10</v>
      </c>
      <c r="AE482" s="1"/>
      <c r="AF482" s="1"/>
      <c r="AG482" s="1"/>
      <c r="AH482" s="6"/>
      <c r="AI482" s="1"/>
      <c r="AJ482" s="1"/>
      <c r="AK482" s="1"/>
      <c r="AL482" s="1"/>
      <c r="AM482" s="1"/>
      <c r="AN482" s="1"/>
      <c r="AO482" s="1"/>
      <c r="AP482" s="1"/>
      <c r="AQ482" s="1"/>
      <c r="AR482" s="1"/>
      <c r="AS482" s="1" t="s">
        <v>495</v>
      </c>
      <c r="AT482" s="1" t="s">
        <v>496</v>
      </c>
      <c r="AU482" s="1">
        <v>0.2</v>
      </c>
      <c r="AV482" s="1">
        <v>2253</v>
      </c>
      <c r="AW482" s="1">
        <v>399712</v>
      </c>
      <c r="AX482" s="1">
        <v>157710</v>
      </c>
      <c r="AY482" s="1">
        <v>338802.8</v>
      </c>
      <c r="AZ482" s="1">
        <v>0.4</v>
      </c>
      <c r="BA482" s="1">
        <v>22</v>
      </c>
      <c r="BB482" s="1">
        <v>766000</v>
      </c>
      <c r="BC482" s="1">
        <v>862800.8</v>
      </c>
      <c r="BD482" s="1">
        <v>187873</v>
      </c>
      <c r="BE482" s="1">
        <v>115</v>
      </c>
      <c r="BF482" s="1">
        <v>10</v>
      </c>
      <c r="BG482" s="1">
        <v>0.13</v>
      </c>
      <c r="BH482" s="1" t="s">
        <v>481</v>
      </c>
      <c r="BI482" s="1"/>
      <c r="BJ482" s="1">
        <v>15400.127272727272</v>
      </c>
      <c r="BK482" s="1"/>
    </row>
    <row r="483" spans="1:63" ht="16" thickBot="1" x14ac:dyDescent="0.25">
      <c r="A483" s="3">
        <v>483</v>
      </c>
      <c r="B483" s="3" t="s">
        <v>477</v>
      </c>
      <c r="C483" s="3" t="s">
        <v>543</v>
      </c>
      <c r="D483" s="1" t="s">
        <v>478</v>
      </c>
      <c r="E483" s="1"/>
      <c r="F483" s="1"/>
      <c r="G483" s="1" t="s">
        <v>102</v>
      </c>
      <c r="H483" s="1" t="s">
        <v>114</v>
      </c>
      <c r="I483" s="1"/>
      <c r="J483" s="113">
        <f>Table4[[#This Row],[total_cost_npr]]*(1/'Calculations &amp; Assumptions'!$C$6)</f>
        <v>882479.6304849881</v>
      </c>
      <c r="K483" s="113">
        <f>Table4[[#This Row],[system_cost_npr_per_kwp]]*(1/'Calculations &amp; Assumptions'!$C$6)</f>
        <v>5693.4169708708905</v>
      </c>
      <c r="L483" s="23">
        <f>IF(Table4[[#This Row],[total_cost_inr]]&gt;0, Table4[[#This Row],[total_cost_inr]]*'Calculations &amp; Assumptions'!$C$7,IF(Table4[[#This Row],[total_cost_eur]]&gt;0,Table4[[#This Row],[total_cost_eur]]*'Calculations &amp; Assumptions'!$C$5,0))</f>
        <v>114634103.99999997</v>
      </c>
      <c r="M483" s="77">
        <f>IF(H483="smartmeter_1ph",Table4[[#This Row],[total_cost_npr]],Table4[[#This Row],[total_cost_npr]]/Table4[[#This Row],[pv_kWp]])</f>
        <v>739574.86451612879</v>
      </c>
      <c r="N483" s="1"/>
      <c r="O483" s="1">
        <f>Table4[[#This Row],[total_cost_inr]]/Table4[[#This Row],[pv_kWp]]</f>
        <v>0</v>
      </c>
      <c r="P483" s="1">
        <v>881800.79999999981</v>
      </c>
      <c r="Q483" s="1"/>
      <c r="R483" s="1"/>
      <c r="S483" s="1"/>
      <c r="T483" s="1">
        <v>155</v>
      </c>
      <c r="U483" s="1"/>
      <c r="V483" s="1"/>
      <c r="W483" s="1"/>
      <c r="X483" s="1"/>
      <c r="Y483" s="1"/>
      <c r="Z483" s="1"/>
      <c r="AA483" s="1"/>
      <c r="AB483" s="1"/>
      <c r="AC483" s="1"/>
      <c r="AD483" s="1">
        <v>15</v>
      </c>
      <c r="AE483" s="1"/>
      <c r="AF483" s="1"/>
      <c r="AG483" s="1"/>
      <c r="AH483" s="6"/>
      <c r="AI483" s="1"/>
      <c r="AJ483" s="1"/>
      <c r="AK483" s="1"/>
      <c r="AL483" s="1"/>
      <c r="AM483" s="1"/>
      <c r="AN483" s="1"/>
      <c r="AO483" s="1"/>
      <c r="AP483" s="1"/>
      <c r="AQ483" s="1"/>
      <c r="AR483" s="1"/>
      <c r="AS483" s="1" t="s">
        <v>495</v>
      </c>
      <c r="AT483" s="1" t="s">
        <v>496</v>
      </c>
      <c r="AU483" s="1">
        <v>0.25</v>
      </c>
      <c r="AV483" s="1">
        <v>2253</v>
      </c>
      <c r="AW483" s="1">
        <v>399712</v>
      </c>
      <c r="AX483" s="1">
        <v>157710</v>
      </c>
      <c r="AY483" s="1">
        <v>338802.8</v>
      </c>
      <c r="AZ483" s="1">
        <v>0.4</v>
      </c>
      <c r="BA483" s="1">
        <v>22</v>
      </c>
      <c r="BB483" s="1">
        <v>784999.99999999988</v>
      </c>
      <c r="BC483" s="1">
        <v>881800.79999999981</v>
      </c>
      <c r="BD483" s="1">
        <v>178258</v>
      </c>
      <c r="BE483" s="1">
        <v>155</v>
      </c>
      <c r="BF483" s="1">
        <v>15</v>
      </c>
      <c r="BG483" s="1">
        <v>0.13</v>
      </c>
      <c r="BH483" s="1" t="s">
        <v>481</v>
      </c>
      <c r="BI483" s="1"/>
      <c r="BJ483" s="1">
        <v>15400.127272727272</v>
      </c>
      <c r="BK483" s="1"/>
    </row>
    <row r="484" spans="1:63" ht="16" thickBot="1" x14ac:dyDescent="0.25">
      <c r="A484" s="3">
        <v>484</v>
      </c>
      <c r="B484" s="3" t="s">
        <v>477</v>
      </c>
      <c r="C484" s="3" t="s">
        <v>543</v>
      </c>
      <c r="D484" s="1" t="s">
        <v>478</v>
      </c>
      <c r="E484" s="1"/>
      <c r="F484" s="1"/>
      <c r="G484" s="1" t="s">
        <v>102</v>
      </c>
      <c r="H484" s="1" t="s">
        <v>114</v>
      </c>
      <c r="I484" s="1"/>
      <c r="J484" s="113">
        <f>Table4[[#This Row],[total_cost_npr]]*(1/'Calculations &amp; Assumptions'!$C$6)</f>
        <v>973549.68437259423</v>
      </c>
      <c r="K484" s="113">
        <f>Table4[[#This Row],[system_cost_npr_per_kwp]]*(1/'Calculations &amp; Assumptions'!$C$6)</f>
        <v>3415.96380481612</v>
      </c>
      <c r="L484" s="23">
        <f>IF(Table4[[#This Row],[total_cost_inr]]&gt;0, Table4[[#This Row],[total_cost_inr]]*'Calculations &amp; Assumptions'!$C$7,IF(Table4[[#This Row],[total_cost_eur]]&gt;0,Table4[[#This Row],[total_cost_eur]]*'Calculations &amp; Assumptions'!$C$5,0))</f>
        <v>126464104</v>
      </c>
      <c r="M484" s="77">
        <f>IF(H484="smartmeter_1ph",Table4[[#This Row],[total_cost_npr]],Table4[[#This Row],[total_cost_npr]]/Table4[[#This Row],[pv_kWp]])</f>
        <v>443733.69824561401</v>
      </c>
      <c r="N484" s="1"/>
      <c r="O484" s="1">
        <f>Table4[[#This Row],[total_cost_inr]]/Table4[[#This Row],[pv_kWp]]</f>
        <v>0</v>
      </c>
      <c r="P484" s="1">
        <v>972800.8</v>
      </c>
      <c r="Q484" s="1"/>
      <c r="R484" s="1"/>
      <c r="S484" s="1"/>
      <c r="T484" s="1">
        <v>285</v>
      </c>
      <c r="U484" s="1"/>
      <c r="V484" s="1"/>
      <c r="W484" s="1"/>
      <c r="X484" s="1"/>
      <c r="Y484" s="1"/>
      <c r="Z484" s="1"/>
      <c r="AA484" s="1"/>
      <c r="AB484" s="1"/>
      <c r="AC484" s="1"/>
      <c r="AD484" s="1">
        <v>110</v>
      </c>
      <c r="AE484" s="1"/>
      <c r="AF484" s="1"/>
      <c r="AG484" s="1"/>
      <c r="AH484" s="6"/>
      <c r="AI484" s="1"/>
      <c r="AJ484" s="1"/>
      <c r="AK484" s="1"/>
      <c r="AL484" s="1"/>
      <c r="AM484" s="1"/>
      <c r="AN484" s="1"/>
      <c r="AO484" s="1"/>
      <c r="AP484" s="1"/>
      <c r="AQ484" s="1"/>
      <c r="AR484" s="1"/>
      <c r="AS484" s="1" t="s">
        <v>495</v>
      </c>
      <c r="AT484" s="1" t="s">
        <v>496</v>
      </c>
      <c r="AU484" s="1">
        <v>0.35</v>
      </c>
      <c r="AV484" s="1">
        <v>2253</v>
      </c>
      <c r="AW484" s="1">
        <v>399712</v>
      </c>
      <c r="AX484" s="1">
        <v>157710</v>
      </c>
      <c r="AY484" s="1">
        <v>338802.8</v>
      </c>
      <c r="AZ484" s="1">
        <v>0.4</v>
      </c>
      <c r="BA484" s="1">
        <v>22</v>
      </c>
      <c r="BB484" s="1">
        <v>876000.00000000012</v>
      </c>
      <c r="BC484" s="1">
        <v>972800.8</v>
      </c>
      <c r="BD484" s="1">
        <v>154591</v>
      </c>
      <c r="BE484" s="1">
        <v>285</v>
      </c>
      <c r="BF484" s="1">
        <v>110</v>
      </c>
      <c r="BG484" s="1">
        <v>0.13</v>
      </c>
      <c r="BH484" s="1" t="s">
        <v>481</v>
      </c>
      <c r="BI484" s="1"/>
      <c r="BJ484" s="1">
        <v>15400.127272727272</v>
      </c>
      <c r="BK484" s="1"/>
    </row>
    <row r="485" spans="1:63" ht="16" thickBot="1" x14ac:dyDescent="0.25">
      <c r="A485" s="3">
        <v>485</v>
      </c>
      <c r="B485" s="3" t="s">
        <v>477</v>
      </c>
      <c r="C485" s="3" t="s">
        <v>543</v>
      </c>
      <c r="D485" s="1" t="s">
        <v>478</v>
      </c>
      <c r="E485" s="1"/>
      <c r="F485" s="1"/>
      <c r="G485" s="1" t="s">
        <v>102</v>
      </c>
      <c r="H485" s="1" t="s">
        <v>114</v>
      </c>
      <c r="I485" s="1"/>
      <c r="J485" s="113">
        <f>Table4[[#This Row],[total_cost_npr]]*(1/'Calculations &amp; Assumptions'!$C$6)</f>
        <v>927514.27251732093</v>
      </c>
      <c r="K485" s="113">
        <f>Table4[[#This Row],[system_cost_npr_per_kwp]]*(1/'Calculations &amp; Assumptions'!$C$6)</f>
        <v>4416.7346310348612</v>
      </c>
      <c r="L485" s="23">
        <f>IF(Table4[[#This Row],[total_cost_inr]]&gt;0, Table4[[#This Row],[total_cost_inr]]*'Calculations &amp; Assumptions'!$C$7,IF(Table4[[#This Row],[total_cost_eur]]&gt;0,Table4[[#This Row],[total_cost_eur]]*'Calculations &amp; Assumptions'!$C$5,0))</f>
        <v>120484104</v>
      </c>
      <c r="M485" s="77">
        <f>IF(H485="smartmeter_1ph",Table4[[#This Row],[total_cost_npr]],Table4[[#This Row],[total_cost_npr]]/Table4[[#This Row],[pv_kWp]])</f>
        <v>573733.82857142854</v>
      </c>
      <c r="N485" s="1"/>
      <c r="O485" s="1">
        <f>Table4[[#This Row],[total_cost_inr]]/Table4[[#This Row],[pv_kWp]]</f>
        <v>0</v>
      </c>
      <c r="P485" s="1">
        <v>926800.8</v>
      </c>
      <c r="Q485" s="1"/>
      <c r="R485" s="1"/>
      <c r="S485" s="1"/>
      <c r="T485" s="1">
        <v>210</v>
      </c>
      <c r="U485" s="1"/>
      <c r="V485" s="1"/>
      <c r="W485" s="1"/>
      <c r="X485" s="1"/>
      <c r="Y485" s="1"/>
      <c r="Z485" s="1"/>
      <c r="AA485" s="1"/>
      <c r="AB485" s="1"/>
      <c r="AC485" s="1"/>
      <c r="AD485" s="1">
        <v>70</v>
      </c>
      <c r="AE485" s="1"/>
      <c r="AF485" s="1"/>
      <c r="AG485" s="1"/>
      <c r="AH485" s="6"/>
      <c r="AI485" s="1"/>
      <c r="AJ485" s="1"/>
      <c r="AK485" s="1"/>
      <c r="AL485" s="1"/>
      <c r="AM485" s="1"/>
      <c r="AN485" s="1"/>
      <c r="AO485" s="1"/>
      <c r="AP485" s="1"/>
      <c r="AQ485" s="1"/>
      <c r="AR485" s="1"/>
      <c r="AS485" s="1" t="s">
        <v>495</v>
      </c>
      <c r="AT485" s="1" t="s">
        <v>496</v>
      </c>
      <c r="AU485" s="1">
        <v>0.3</v>
      </c>
      <c r="AV485" s="1">
        <v>2253</v>
      </c>
      <c r="AW485" s="1">
        <v>399712</v>
      </c>
      <c r="AX485" s="1">
        <v>157710</v>
      </c>
      <c r="AY485" s="1">
        <v>338802.8</v>
      </c>
      <c r="AZ485" s="1">
        <v>0.4</v>
      </c>
      <c r="BA485" s="1">
        <v>22</v>
      </c>
      <c r="BB485" s="1">
        <v>830000.00000000012</v>
      </c>
      <c r="BC485" s="1">
        <v>926800.8</v>
      </c>
      <c r="BD485" s="1">
        <v>165414</v>
      </c>
      <c r="BE485" s="1">
        <v>210</v>
      </c>
      <c r="BF485" s="1">
        <v>70</v>
      </c>
      <c r="BG485" s="1">
        <v>0.13</v>
      </c>
      <c r="BH485" s="1" t="s">
        <v>481</v>
      </c>
      <c r="BI485" s="1"/>
      <c r="BJ485" s="1">
        <v>15400.127272727272</v>
      </c>
      <c r="BK485" s="1"/>
    </row>
    <row r="486" spans="1:63" ht="16" thickBot="1" x14ac:dyDescent="0.25">
      <c r="A486" s="3">
        <v>486</v>
      </c>
      <c r="B486" s="3" t="s">
        <v>477</v>
      </c>
      <c r="C486" s="3" t="s">
        <v>543</v>
      </c>
      <c r="D486" s="1" t="s">
        <v>478</v>
      </c>
      <c r="E486" s="1"/>
      <c r="F486" s="1"/>
      <c r="G486" s="1" t="s">
        <v>102</v>
      </c>
      <c r="H486" s="1" t="s">
        <v>114</v>
      </c>
      <c r="I486" s="1"/>
      <c r="J486" s="113">
        <f>Table4[[#This Row],[total_cost_npr]]*(1/'Calculations &amp; Assumptions'!$C$6)</f>
        <v>1028733.1331793687</v>
      </c>
      <c r="K486" s="113">
        <f>Table4[[#This Row],[system_cost_npr_per_kwp]]*(1/'Calculations &amp; Assumptions'!$C$6)</f>
        <v>2857.5920366093574</v>
      </c>
      <c r="L486" s="23">
        <f>IF(Table4[[#This Row],[total_cost_inr]]&gt;0, Table4[[#This Row],[total_cost_inr]]*'Calculations &amp; Assumptions'!$C$7,IF(Table4[[#This Row],[total_cost_eur]]&gt;0,Table4[[#This Row],[total_cost_eur]]*'Calculations &amp; Assumptions'!$C$5,0))</f>
        <v>133632434</v>
      </c>
      <c r="M486" s="77">
        <f>IF(H486="smartmeter_1ph",Table4[[#This Row],[total_cost_npr]],Table4[[#This Row],[total_cost_npr]]/Table4[[#This Row],[pv_kWp]])</f>
        <v>371201.20555555553</v>
      </c>
      <c r="N486" s="1"/>
      <c r="O486" s="1">
        <f>Table4[[#This Row],[total_cost_inr]]/Table4[[#This Row],[pv_kWp]]</f>
        <v>0</v>
      </c>
      <c r="P486" s="1">
        <v>1027941.8</v>
      </c>
      <c r="Q486" s="1"/>
      <c r="R486" s="1"/>
      <c r="S486" s="1"/>
      <c r="T486" s="1">
        <v>360</v>
      </c>
      <c r="U486" s="1"/>
      <c r="V486" s="1"/>
      <c r="W486" s="1"/>
      <c r="X486" s="1"/>
      <c r="Y486" s="1"/>
      <c r="Z486" s="1"/>
      <c r="AA486" s="1"/>
      <c r="AB486" s="1"/>
      <c r="AC486" s="1"/>
      <c r="AD486" s="1">
        <v>160</v>
      </c>
      <c r="AE486" s="1"/>
      <c r="AF486" s="1"/>
      <c r="AG486" s="1"/>
      <c r="AH486" s="6"/>
      <c r="AI486" s="1"/>
      <c r="AJ486" s="1"/>
      <c r="AK486" s="1"/>
      <c r="AL486" s="1"/>
      <c r="AM486" s="1"/>
      <c r="AN486" s="1"/>
      <c r="AO486" s="1"/>
      <c r="AP486" s="1"/>
      <c r="AQ486" s="1"/>
      <c r="AR486" s="1"/>
      <c r="AS486" s="1" t="s">
        <v>495</v>
      </c>
      <c r="AT486" s="1" t="s">
        <v>496</v>
      </c>
      <c r="AU486" s="1">
        <v>0.4</v>
      </c>
      <c r="AV486" s="1">
        <v>2253</v>
      </c>
      <c r="AW486" s="1">
        <v>399712</v>
      </c>
      <c r="AX486" s="1">
        <v>157710</v>
      </c>
      <c r="AY486" s="1">
        <v>338802.8</v>
      </c>
      <c r="AZ486" s="1">
        <v>0.4</v>
      </c>
      <c r="BA486" s="1">
        <v>22</v>
      </c>
      <c r="BB486" s="1">
        <v>931141</v>
      </c>
      <c r="BC486" s="1">
        <v>1027941.8</v>
      </c>
      <c r="BD486" s="1">
        <v>143747</v>
      </c>
      <c r="BE486" s="1">
        <v>360</v>
      </c>
      <c r="BF486" s="1">
        <v>160</v>
      </c>
      <c r="BG486" s="1">
        <v>0.13</v>
      </c>
      <c r="BH486" s="1" t="s">
        <v>481</v>
      </c>
      <c r="BI486" s="1"/>
      <c r="BJ486" s="1">
        <v>15400.127272727272</v>
      </c>
      <c r="BK486" s="1"/>
    </row>
    <row r="487" spans="1:63" ht="16" thickBot="1" x14ac:dyDescent="0.25">
      <c r="A487" s="3">
        <v>487</v>
      </c>
      <c r="B487" s="3" t="s">
        <v>477</v>
      </c>
      <c r="C487" s="3" t="s">
        <v>543</v>
      </c>
      <c r="D487" s="1" t="s">
        <v>478</v>
      </c>
      <c r="E487" s="1"/>
      <c r="F487" s="1"/>
      <c r="G487" s="1" t="s">
        <v>102</v>
      </c>
      <c r="H487" s="1" t="s">
        <v>114</v>
      </c>
      <c r="I487" s="1"/>
      <c r="J487" s="113">
        <f>Table4[[#This Row],[total_cost_npr]]*(1/'Calculations &amp; Assumptions'!$C$6)</f>
        <v>1075628.2063125479</v>
      </c>
      <c r="K487" s="113">
        <f>Table4[[#This Row],[system_cost_npr_per_kwp]]*(1/'Calculations &amp; Assumptions'!$C$6)</f>
        <v>2530.8898972059956</v>
      </c>
      <c r="L487" s="23">
        <f>IF(Table4[[#This Row],[total_cost_inr]]&gt;0, Table4[[#This Row],[total_cost_inr]]*'Calculations &amp; Assumptions'!$C$7,IF(Table4[[#This Row],[total_cost_eur]]&gt;0,Table4[[#This Row],[total_cost_eur]]*'Calculations &amp; Assumptions'!$C$5,0))</f>
        <v>139724104</v>
      </c>
      <c r="M487" s="77">
        <f>IF(H487="smartmeter_1ph",Table4[[#This Row],[total_cost_npr]],Table4[[#This Row],[total_cost_npr]]/Table4[[#This Row],[pv_kWp]])</f>
        <v>328762.59764705884</v>
      </c>
      <c r="N487" s="1"/>
      <c r="O487" s="1">
        <f>Table4[[#This Row],[total_cost_inr]]/Table4[[#This Row],[pv_kWp]]</f>
        <v>0</v>
      </c>
      <c r="P487" s="1">
        <v>1074800.8</v>
      </c>
      <c r="Q487" s="1"/>
      <c r="R487" s="1"/>
      <c r="S487" s="1"/>
      <c r="T487" s="1">
        <v>425</v>
      </c>
      <c r="U487" s="1"/>
      <c r="V487" s="1"/>
      <c r="W487" s="1"/>
      <c r="X487" s="1"/>
      <c r="Y487" s="1"/>
      <c r="Z487" s="1"/>
      <c r="AA487" s="1"/>
      <c r="AB487" s="1"/>
      <c r="AC487" s="1"/>
      <c r="AD487" s="1">
        <v>210</v>
      </c>
      <c r="AE487" s="1"/>
      <c r="AF487" s="1"/>
      <c r="AG487" s="1"/>
      <c r="AH487" s="6"/>
      <c r="AI487" s="1"/>
      <c r="AJ487" s="1"/>
      <c r="AK487" s="1"/>
      <c r="AL487" s="1"/>
      <c r="AM487" s="1"/>
      <c r="AN487" s="1"/>
      <c r="AO487" s="1"/>
      <c r="AP487" s="1"/>
      <c r="AQ487" s="1"/>
      <c r="AR487" s="1"/>
      <c r="AS487" s="1" t="s">
        <v>495</v>
      </c>
      <c r="AT487" s="1" t="s">
        <v>496</v>
      </c>
      <c r="AU487" s="1">
        <v>0.45</v>
      </c>
      <c r="AV487" s="1">
        <v>2253</v>
      </c>
      <c r="AW487" s="1">
        <v>399712</v>
      </c>
      <c r="AX487" s="1">
        <v>157710</v>
      </c>
      <c r="AY487" s="1">
        <v>338802.8</v>
      </c>
      <c r="AZ487" s="1">
        <v>0.4</v>
      </c>
      <c r="BA487" s="1">
        <v>22</v>
      </c>
      <c r="BB487" s="1">
        <v>978000</v>
      </c>
      <c r="BC487" s="1">
        <v>1074800.8</v>
      </c>
      <c r="BD487" s="1">
        <v>130860</v>
      </c>
      <c r="BE487" s="1">
        <v>425</v>
      </c>
      <c r="BF487" s="1">
        <v>210</v>
      </c>
      <c r="BG487" s="1">
        <v>0.13</v>
      </c>
      <c r="BH487" s="1" t="s">
        <v>481</v>
      </c>
      <c r="BI487" s="1"/>
      <c r="BJ487" s="1">
        <v>15400.127272727272</v>
      </c>
      <c r="BK487" s="1"/>
    </row>
    <row r="488" spans="1:63" ht="16" thickBot="1" x14ac:dyDescent="0.25">
      <c r="A488" s="3">
        <v>488</v>
      </c>
      <c r="B488" s="3" t="s">
        <v>477</v>
      </c>
      <c r="C488" s="3" t="s">
        <v>543</v>
      </c>
      <c r="D488" s="1" t="s">
        <v>478</v>
      </c>
      <c r="E488" s="1"/>
      <c r="F488" s="1"/>
      <c r="G488" s="1" t="s">
        <v>102</v>
      </c>
      <c r="H488" s="1" t="s">
        <v>114</v>
      </c>
      <c r="I488" s="1"/>
      <c r="J488" s="113">
        <f>Table4[[#This Row],[total_cost_npr]]*(1/'Calculations &amp; Assumptions'!$C$6)</f>
        <v>1131712.3479599692</v>
      </c>
      <c r="K488" s="113">
        <f>Table4[[#This Row],[system_cost_npr_per_kwp]]*(1/'Calculations &amp; Assumptions'!$C$6)</f>
        <v>2286.2875716363014</v>
      </c>
      <c r="L488" s="23">
        <f>IF(Table4[[#This Row],[total_cost_inr]]&gt;0, Table4[[#This Row],[total_cost_inr]]*'Calculations &amp; Assumptions'!$C$7,IF(Table4[[#This Row],[total_cost_eur]]&gt;0,Table4[[#This Row],[total_cost_eur]]*'Calculations &amp; Assumptions'!$C$5,0))</f>
        <v>147009434</v>
      </c>
      <c r="M488" s="77">
        <f>IF(H488="smartmeter_1ph",Table4[[#This Row],[total_cost_npr]],Table4[[#This Row],[total_cost_npr]]/Table4[[#This Row],[pv_kWp]])</f>
        <v>296988.75555555557</v>
      </c>
      <c r="N488" s="1"/>
      <c r="O488" s="1">
        <f>Table4[[#This Row],[total_cost_inr]]/Table4[[#This Row],[pv_kWp]]</f>
        <v>0</v>
      </c>
      <c r="P488" s="1">
        <v>1130841.8</v>
      </c>
      <c r="Q488" s="1"/>
      <c r="R488" s="1"/>
      <c r="S488" s="1"/>
      <c r="T488" s="1">
        <v>495</v>
      </c>
      <c r="U488" s="1"/>
      <c r="V488" s="1"/>
      <c r="W488" s="1"/>
      <c r="X488" s="1"/>
      <c r="Y488" s="1"/>
      <c r="Z488" s="1"/>
      <c r="AA488" s="1"/>
      <c r="AB488" s="1"/>
      <c r="AC488" s="1"/>
      <c r="AD488" s="1">
        <v>275</v>
      </c>
      <c r="AE488" s="1"/>
      <c r="AF488" s="1"/>
      <c r="AG488" s="1"/>
      <c r="AH488" s="6"/>
      <c r="AI488" s="1"/>
      <c r="AJ488" s="1"/>
      <c r="AK488" s="1"/>
      <c r="AL488" s="1"/>
      <c r="AM488" s="1"/>
      <c r="AN488" s="1"/>
      <c r="AO488" s="1"/>
      <c r="AP488" s="1"/>
      <c r="AQ488" s="1"/>
      <c r="AR488" s="1"/>
      <c r="AS488" s="1" t="s">
        <v>495</v>
      </c>
      <c r="AT488" s="1" t="s">
        <v>496</v>
      </c>
      <c r="AU488" s="1">
        <v>0.5</v>
      </c>
      <c r="AV488" s="1">
        <v>2253</v>
      </c>
      <c r="AW488" s="1">
        <v>399712</v>
      </c>
      <c r="AX488" s="1">
        <v>157710</v>
      </c>
      <c r="AY488" s="1">
        <v>338802.8</v>
      </c>
      <c r="AZ488" s="1">
        <v>0.4</v>
      </c>
      <c r="BA488" s="1">
        <v>22</v>
      </c>
      <c r="BB488" s="1">
        <v>1034041</v>
      </c>
      <c r="BC488" s="1">
        <v>1130841.8</v>
      </c>
      <c r="BD488" s="1">
        <v>118700</v>
      </c>
      <c r="BE488" s="1">
        <v>495</v>
      </c>
      <c r="BF488" s="1">
        <v>275</v>
      </c>
      <c r="BG488" s="1">
        <v>0.13</v>
      </c>
      <c r="BH488" s="1" t="s">
        <v>481</v>
      </c>
      <c r="BI488" s="1"/>
      <c r="BJ488" s="1">
        <v>15400.127272727272</v>
      </c>
      <c r="BK488" s="1"/>
    </row>
    <row r="489" spans="1:63" ht="16" thickBot="1" x14ac:dyDescent="0.25">
      <c r="A489" s="3">
        <v>489</v>
      </c>
      <c r="B489" s="3" t="s">
        <v>477</v>
      </c>
      <c r="C489" s="3" t="s">
        <v>543</v>
      </c>
      <c r="D489" s="1" t="s">
        <v>478</v>
      </c>
      <c r="E489" s="1"/>
      <c r="F489" s="1"/>
      <c r="G489" s="1" t="s">
        <v>102</v>
      </c>
      <c r="H489" s="1" t="s">
        <v>114</v>
      </c>
      <c r="I489" s="1"/>
      <c r="J489" s="113">
        <f>Table4[[#This Row],[total_cost_npr]]*(1/'Calculations &amp; Assumptions'!$C$6)</f>
        <v>1198828.9761354888</v>
      </c>
      <c r="K489" s="113">
        <f>Table4[[#This Row],[system_cost_npr_per_kwp]]*(1/'Calculations &amp; Assumptions'!$C$6)</f>
        <v>2031.9135188737096</v>
      </c>
      <c r="L489" s="23">
        <f>IF(Table4[[#This Row],[total_cost_inr]]&gt;0, Table4[[#This Row],[total_cost_inr]]*'Calculations &amp; Assumptions'!$C$7,IF(Table4[[#This Row],[total_cost_eur]]&gt;0,Table4[[#This Row],[total_cost_eur]]*'Calculations &amp; Assumptions'!$C$5,0))</f>
        <v>155727884</v>
      </c>
      <c r="M489" s="77">
        <f>IF(H489="smartmeter_1ph",Table4[[#This Row],[total_cost_npr]],Table4[[#This Row],[total_cost_npr]]/Table4[[#This Row],[pv_kWp]])</f>
        <v>263945.56610169489</v>
      </c>
      <c r="N489" s="1"/>
      <c r="O489" s="1">
        <f>Table4[[#This Row],[total_cost_inr]]/Table4[[#This Row],[pv_kWp]]</f>
        <v>0</v>
      </c>
      <c r="P489" s="1">
        <v>1197906.8</v>
      </c>
      <c r="Q489" s="1"/>
      <c r="R489" s="1"/>
      <c r="S489" s="1"/>
      <c r="T489" s="1">
        <v>590</v>
      </c>
      <c r="U489" s="1"/>
      <c r="V489" s="1"/>
      <c r="W489" s="1"/>
      <c r="X489" s="1"/>
      <c r="Y489" s="1"/>
      <c r="Z489" s="1"/>
      <c r="AA489" s="1"/>
      <c r="AB489" s="1"/>
      <c r="AC489" s="1"/>
      <c r="AD489" s="1">
        <v>344</v>
      </c>
      <c r="AE489" s="1"/>
      <c r="AF489" s="1"/>
      <c r="AG489" s="1"/>
      <c r="AH489" s="6"/>
      <c r="AI489" s="1"/>
      <c r="AJ489" s="1"/>
      <c r="AK489" s="1"/>
      <c r="AL489" s="1"/>
      <c r="AM489" s="1"/>
      <c r="AN489" s="1"/>
      <c r="AO489" s="1"/>
      <c r="AP489" s="1"/>
      <c r="AQ489" s="1"/>
      <c r="AR489" s="1"/>
      <c r="AS489" s="1" t="s">
        <v>495</v>
      </c>
      <c r="AT489" s="1" t="s">
        <v>496</v>
      </c>
      <c r="AU489" s="1">
        <v>0.55000000000000004</v>
      </c>
      <c r="AV489" s="1">
        <v>2253</v>
      </c>
      <c r="AW489" s="1">
        <v>399712</v>
      </c>
      <c r="AX489" s="1">
        <v>157710</v>
      </c>
      <c r="AY489" s="1">
        <v>338802.8</v>
      </c>
      <c r="AZ489" s="1">
        <v>0.4</v>
      </c>
      <c r="BA489" s="1">
        <v>22</v>
      </c>
      <c r="BB489" s="1">
        <v>1101106</v>
      </c>
      <c r="BC489" s="1">
        <v>1197906.8</v>
      </c>
      <c r="BD489" s="1">
        <v>107415</v>
      </c>
      <c r="BE489" s="1">
        <v>590</v>
      </c>
      <c r="BF489" s="1">
        <v>344</v>
      </c>
      <c r="BG489" s="1">
        <v>0.13</v>
      </c>
      <c r="BH489" s="1" t="s">
        <v>481</v>
      </c>
      <c r="BI489" s="1"/>
      <c r="BJ489" s="1">
        <v>15400.127272727272</v>
      </c>
      <c r="BK489" s="1"/>
    </row>
    <row r="490" spans="1:63" ht="16" thickBot="1" x14ac:dyDescent="0.25">
      <c r="A490" s="3">
        <v>490</v>
      </c>
      <c r="B490" s="3" t="s">
        <v>477</v>
      </c>
      <c r="C490" s="3" t="s">
        <v>543</v>
      </c>
      <c r="D490" s="1" t="s">
        <v>478</v>
      </c>
      <c r="E490" s="1"/>
      <c r="F490" s="1"/>
      <c r="G490" s="1" t="s">
        <v>102</v>
      </c>
      <c r="H490" s="1" t="s">
        <v>114</v>
      </c>
      <c r="I490" s="1"/>
      <c r="J490" s="113">
        <f>Table4[[#This Row],[total_cost_npr]]*(1/'Calculations &amp; Assumptions'!$C$6)</f>
        <v>1275967.3133179368</v>
      </c>
      <c r="K490" s="113">
        <f>Table4[[#This Row],[system_cost_npr_per_kwp]]*(1/'Calculations &amp; Assumptions'!$C$6)</f>
        <v>1951.0203567552549</v>
      </c>
      <c r="L490" s="23">
        <f>IF(Table4[[#This Row],[total_cost_inr]]&gt;0, Table4[[#This Row],[total_cost_inr]]*'Calculations &amp; Assumptions'!$C$7,IF(Table4[[#This Row],[total_cost_eur]]&gt;0,Table4[[#This Row],[total_cost_eur]]*'Calculations &amp; Assumptions'!$C$5,0))</f>
        <v>165748154</v>
      </c>
      <c r="M490" s="77">
        <f>IF(H490="smartmeter_1ph",Table4[[#This Row],[total_cost_npr]],Table4[[#This Row],[total_cost_npr]]/Table4[[#This Row],[pv_kWp]])</f>
        <v>253437.54434250764</v>
      </c>
      <c r="N490" s="1"/>
      <c r="O490" s="1">
        <f>Table4[[#This Row],[total_cost_inr]]/Table4[[#This Row],[pv_kWp]]</f>
        <v>0</v>
      </c>
      <c r="P490" s="1">
        <v>1274985.8</v>
      </c>
      <c r="Q490" s="1"/>
      <c r="R490" s="1"/>
      <c r="S490" s="1"/>
      <c r="T490" s="1">
        <v>654</v>
      </c>
      <c r="U490" s="1"/>
      <c r="V490" s="1"/>
      <c r="W490" s="1"/>
      <c r="X490" s="1"/>
      <c r="Y490" s="1"/>
      <c r="Z490" s="1"/>
      <c r="AA490" s="1"/>
      <c r="AB490" s="1"/>
      <c r="AC490" s="1"/>
      <c r="AD490" s="1">
        <v>472</v>
      </c>
      <c r="AE490" s="1"/>
      <c r="AF490" s="1"/>
      <c r="AG490" s="1"/>
      <c r="AH490" s="6"/>
      <c r="AI490" s="1"/>
      <c r="AJ490" s="1"/>
      <c r="AK490" s="1"/>
      <c r="AL490" s="1"/>
      <c r="AM490" s="1"/>
      <c r="AN490" s="1"/>
      <c r="AO490" s="1"/>
      <c r="AP490" s="1"/>
      <c r="AQ490" s="1"/>
      <c r="AR490" s="1"/>
      <c r="AS490" s="1" t="s">
        <v>495</v>
      </c>
      <c r="AT490" s="1" t="s">
        <v>496</v>
      </c>
      <c r="AU490" s="1">
        <v>0.6</v>
      </c>
      <c r="AV490" s="1">
        <v>2253</v>
      </c>
      <c r="AW490" s="1">
        <v>399712</v>
      </c>
      <c r="AX490" s="1">
        <v>157710</v>
      </c>
      <c r="AY490" s="1">
        <v>338802.8</v>
      </c>
      <c r="AZ490" s="1">
        <v>0.4</v>
      </c>
      <c r="BA490" s="1">
        <v>22</v>
      </c>
      <c r="BB490" s="1">
        <v>1178185</v>
      </c>
      <c r="BC490" s="1">
        <v>1274985.8</v>
      </c>
      <c r="BD490" s="1">
        <v>95920</v>
      </c>
      <c r="BE490" s="1">
        <v>654</v>
      </c>
      <c r="BF490" s="1">
        <v>472</v>
      </c>
      <c r="BG490" s="1">
        <v>0.13</v>
      </c>
      <c r="BH490" s="1" t="s">
        <v>481</v>
      </c>
      <c r="BI490" s="1"/>
      <c r="BJ490" s="1">
        <v>15400.127272727272</v>
      </c>
      <c r="BK490" s="1"/>
    </row>
    <row r="491" spans="1:63" ht="16" thickBot="1" x14ac:dyDescent="0.25">
      <c r="A491" s="3">
        <v>491</v>
      </c>
      <c r="B491" s="3" t="s">
        <v>477</v>
      </c>
      <c r="C491" s="3" t="s">
        <v>543</v>
      </c>
      <c r="D491" s="1" t="s">
        <v>478</v>
      </c>
      <c r="E491" s="1"/>
      <c r="F491" s="1"/>
      <c r="G491" s="1" t="s">
        <v>102</v>
      </c>
      <c r="H491" s="1" t="s">
        <v>114</v>
      </c>
      <c r="I491" s="1"/>
      <c r="J491" s="113">
        <f>Table4[[#This Row],[total_cost_npr]]*(1/'Calculations &amp; Assumptions'!$C$6)</f>
        <v>1359736.75134719</v>
      </c>
      <c r="K491" s="113">
        <f>Table4[[#This Row],[system_cost_npr_per_kwp]]*(1/'Calculations &amp; Assumptions'!$C$6)</f>
        <v>1885.9039547117752</v>
      </c>
      <c r="L491" s="23">
        <f>IF(Table4[[#This Row],[total_cost_inr]]&gt;0, Table4[[#This Row],[total_cost_inr]]*'Calculations &amp; Assumptions'!$C$7,IF(Table4[[#This Row],[total_cost_eur]]&gt;0,Table4[[#This Row],[total_cost_eur]]*'Calculations &amp; Assumptions'!$C$5,0))</f>
        <v>176629804</v>
      </c>
      <c r="M491" s="77">
        <f>IF(H491="smartmeter_1ph",Table4[[#This Row],[total_cost_npr]],Table4[[#This Row],[total_cost_npr]]/Table4[[#This Row],[pv_kWp]])</f>
        <v>244978.92371705963</v>
      </c>
      <c r="N491" s="1"/>
      <c r="O491" s="1">
        <f>Table4[[#This Row],[total_cost_inr]]/Table4[[#This Row],[pv_kWp]]</f>
        <v>0</v>
      </c>
      <c r="P491" s="1">
        <v>1358690.8</v>
      </c>
      <c r="Q491" s="1"/>
      <c r="R491" s="1"/>
      <c r="S491" s="1"/>
      <c r="T491" s="1">
        <v>721</v>
      </c>
      <c r="U491" s="1"/>
      <c r="V491" s="1"/>
      <c r="W491" s="1"/>
      <c r="X491" s="1"/>
      <c r="Y491" s="1"/>
      <c r="Z491" s="1"/>
      <c r="AA491" s="1"/>
      <c r="AB491" s="1"/>
      <c r="AC491" s="1"/>
      <c r="AD491" s="1">
        <v>615</v>
      </c>
      <c r="AE491" s="1"/>
      <c r="AF491" s="1"/>
      <c r="AG491" s="1"/>
      <c r="AH491" s="6"/>
      <c r="AI491" s="1"/>
      <c r="AJ491" s="1"/>
      <c r="AK491" s="1"/>
      <c r="AL491" s="1"/>
      <c r="AM491" s="1"/>
      <c r="AN491" s="1"/>
      <c r="AO491" s="1"/>
      <c r="AP491" s="1"/>
      <c r="AQ491" s="1"/>
      <c r="AR491" s="1"/>
      <c r="AS491" s="1" t="s">
        <v>495</v>
      </c>
      <c r="AT491" s="1" t="s">
        <v>496</v>
      </c>
      <c r="AU491" s="1">
        <v>0.65</v>
      </c>
      <c r="AV491" s="1">
        <v>2253</v>
      </c>
      <c r="AW491" s="1">
        <v>399712</v>
      </c>
      <c r="AX491" s="1">
        <v>157710</v>
      </c>
      <c r="AY491" s="1">
        <v>338802.8</v>
      </c>
      <c r="AZ491" s="1">
        <v>0.4</v>
      </c>
      <c r="BA491" s="1">
        <v>22</v>
      </c>
      <c r="BB491" s="1">
        <v>1261890</v>
      </c>
      <c r="BC491" s="1">
        <v>1358690.8</v>
      </c>
      <c r="BD491" s="1">
        <v>84625</v>
      </c>
      <c r="BE491" s="1">
        <v>721</v>
      </c>
      <c r="BF491" s="1">
        <v>615</v>
      </c>
      <c r="BG491" s="1">
        <v>0.13</v>
      </c>
      <c r="BH491" s="1" t="s">
        <v>481</v>
      </c>
      <c r="BI491" s="1"/>
      <c r="BJ491" s="1">
        <v>15400.127272727272</v>
      </c>
      <c r="BK491" s="1"/>
    </row>
    <row r="492" spans="1:63" ht="16" thickBot="1" x14ac:dyDescent="0.25">
      <c r="A492" s="3">
        <v>492</v>
      </c>
      <c r="B492" s="3" t="s">
        <v>477</v>
      </c>
      <c r="C492" s="3" t="s">
        <v>543</v>
      </c>
      <c r="D492" s="1" t="s">
        <v>478</v>
      </c>
      <c r="E492" s="1"/>
      <c r="F492" s="1"/>
      <c r="G492" s="1" t="s">
        <v>102</v>
      </c>
      <c r="H492" s="1" t="s">
        <v>114</v>
      </c>
      <c r="I492" s="1"/>
      <c r="J492" s="113">
        <f>Table4[[#This Row],[total_cost_npr]]*(1/'Calculations &amp; Assumptions'!$C$6)</f>
        <v>1457222.7405696686</v>
      </c>
      <c r="K492" s="113">
        <f>Table4[[#This Row],[system_cost_npr_per_kwp]]*(1/'Calculations &amp; Assumptions'!$C$6)</f>
        <v>1940.3764854456306</v>
      </c>
      <c r="L492" s="23">
        <f>IF(Table4[[#This Row],[total_cost_inr]]&gt;0, Table4[[#This Row],[total_cost_inr]]*'Calculations &amp; Assumptions'!$C$7,IF(Table4[[#This Row],[total_cost_eur]]&gt;0,Table4[[#This Row],[total_cost_eur]]*'Calculations &amp; Assumptions'!$C$5,0))</f>
        <v>189293233.99999997</v>
      </c>
      <c r="M492" s="77">
        <f>IF(H492="smartmeter_1ph",Table4[[#This Row],[total_cost_npr]],Table4[[#This Row],[total_cost_npr]]/Table4[[#This Row],[pv_kWp]])</f>
        <v>252054.90545938743</v>
      </c>
      <c r="N492" s="1"/>
      <c r="O492" s="1">
        <f>Table4[[#This Row],[total_cost_inr]]/Table4[[#This Row],[pv_kWp]]</f>
        <v>0</v>
      </c>
      <c r="P492" s="1">
        <v>1456101.7999999998</v>
      </c>
      <c r="Q492" s="1"/>
      <c r="R492" s="1"/>
      <c r="S492" s="1"/>
      <c r="T492" s="1">
        <v>751</v>
      </c>
      <c r="U492" s="1"/>
      <c r="V492" s="1"/>
      <c r="W492" s="1"/>
      <c r="X492" s="1"/>
      <c r="Y492" s="1"/>
      <c r="Z492" s="1"/>
      <c r="AA492" s="1"/>
      <c r="AB492" s="1"/>
      <c r="AC492" s="1"/>
      <c r="AD492" s="1">
        <v>780</v>
      </c>
      <c r="AE492" s="1"/>
      <c r="AF492" s="1"/>
      <c r="AG492" s="1"/>
      <c r="AH492" s="6"/>
      <c r="AI492" s="1"/>
      <c r="AJ492" s="1"/>
      <c r="AK492" s="1"/>
      <c r="AL492" s="1"/>
      <c r="AM492" s="1"/>
      <c r="AN492" s="1"/>
      <c r="AO492" s="1"/>
      <c r="AP492" s="1"/>
      <c r="AQ492" s="1"/>
      <c r="AR492" s="1"/>
      <c r="AS492" s="1" t="s">
        <v>495</v>
      </c>
      <c r="AT492" s="1" t="s">
        <v>496</v>
      </c>
      <c r="AU492" s="1">
        <v>0.7</v>
      </c>
      <c r="AV492" s="1">
        <v>2253</v>
      </c>
      <c r="AW492" s="1">
        <v>399712</v>
      </c>
      <c r="AX492" s="1">
        <v>157710</v>
      </c>
      <c r="AY492" s="1">
        <v>338802.8</v>
      </c>
      <c r="AZ492" s="1">
        <v>0.4</v>
      </c>
      <c r="BA492" s="1">
        <v>22</v>
      </c>
      <c r="BB492" s="1">
        <v>1359300.9999999998</v>
      </c>
      <c r="BC492" s="1">
        <v>1456101.7999999998</v>
      </c>
      <c r="BD492" s="1">
        <v>73153</v>
      </c>
      <c r="BE492" s="1">
        <v>751</v>
      </c>
      <c r="BF492" s="1">
        <v>780</v>
      </c>
      <c r="BG492" s="1">
        <v>0.13</v>
      </c>
      <c r="BH492" s="1" t="s">
        <v>481</v>
      </c>
      <c r="BI492" s="1"/>
      <c r="BJ492" s="1">
        <v>15400.127272727272</v>
      </c>
      <c r="BK492" s="1"/>
    </row>
    <row r="493" spans="1:63" ht="16" thickBot="1" x14ac:dyDescent="0.25">
      <c r="A493" s="3">
        <v>493</v>
      </c>
      <c r="B493" s="3" t="s">
        <v>477</v>
      </c>
      <c r="C493" s="3" t="s">
        <v>543</v>
      </c>
      <c r="D493" s="1" t="s">
        <v>478</v>
      </c>
      <c r="E493" s="1"/>
      <c r="F493" s="1"/>
      <c r="G493" s="1" t="s">
        <v>102</v>
      </c>
      <c r="H493" s="1" t="s">
        <v>114</v>
      </c>
      <c r="I493" s="1"/>
      <c r="J493" s="113">
        <f>Table4[[#This Row],[total_cost_npr]]*(1/'Calculations &amp; Assumptions'!$C$6)</f>
        <v>1533878.7066974593</v>
      </c>
      <c r="K493" s="113">
        <f>Table4[[#This Row],[system_cost_npr_per_kwp]]*(1/'Calculations &amp; Assumptions'!$C$6)</f>
        <v>1893.6774156758759</v>
      </c>
      <c r="L493" s="23">
        <f>IF(Table4[[#This Row],[total_cost_inr]]&gt;0, Table4[[#This Row],[total_cost_inr]]*'Calculations &amp; Assumptions'!$C$7,IF(Table4[[#This Row],[total_cost_eur]]&gt;0,Table4[[#This Row],[total_cost_eur]]*'Calculations &amp; Assumptions'!$C$5,0))</f>
        <v>199250844</v>
      </c>
      <c r="M493" s="77">
        <f>IF(H493="smartmeter_1ph",Table4[[#This Row],[total_cost_npr]],Table4[[#This Row],[total_cost_npr]]/Table4[[#This Row],[pv_kWp]])</f>
        <v>245988.69629629629</v>
      </c>
      <c r="N493" s="1"/>
      <c r="O493" s="1">
        <f>Table4[[#This Row],[total_cost_inr]]/Table4[[#This Row],[pv_kWp]]</f>
        <v>0</v>
      </c>
      <c r="P493" s="1">
        <v>1532698.8</v>
      </c>
      <c r="Q493" s="1"/>
      <c r="R493" s="1"/>
      <c r="S493" s="1"/>
      <c r="T493" s="1">
        <v>810</v>
      </c>
      <c r="U493" s="1"/>
      <c r="V493" s="1"/>
      <c r="W493" s="1"/>
      <c r="X493" s="1"/>
      <c r="Y493" s="1"/>
      <c r="Z493" s="1"/>
      <c r="AA493" s="1"/>
      <c r="AB493" s="1"/>
      <c r="AC493" s="1"/>
      <c r="AD493" s="1">
        <v>942</v>
      </c>
      <c r="AE493" s="1"/>
      <c r="AF493" s="1"/>
      <c r="AG493" s="1"/>
      <c r="AH493" s="6"/>
      <c r="AI493" s="1"/>
      <c r="AJ493" s="1"/>
      <c r="AK493" s="1"/>
      <c r="AL493" s="1"/>
      <c r="AM493" s="1"/>
      <c r="AN493" s="1"/>
      <c r="AO493" s="1"/>
      <c r="AP493" s="1"/>
      <c r="AQ493" s="1"/>
      <c r="AR493" s="1"/>
      <c r="AS493" s="1" t="s">
        <v>495</v>
      </c>
      <c r="AT493" s="1" t="s">
        <v>496</v>
      </c>
      <c r="AU493" s="1">
        <v>0.75</v>
      </c>
      <c r="AV493" s="1">
        <v>2253</v>
      </c>
      <c r="AW493" s="1">
        <v>399712</v>
      </c>
      <c r="AX493" s="1">
        <v>157710</v>
      </c>
      <c r="AY493" s="1">
        <v>338802.8</v>
      </c>
      <c r="AZ493" s="1">
        <v>0.4</v>
      </c>
      <c r="BA493" s="1">
        <v>22</v>
      </c>
      <c r="BB493" s="1">
        <v>1435898</v>
      </c>
      <c r="BC493" s="1">
        <v>1532698.8</v>
      </c>
      <c r="BD493" s="1">
        <v>61742</v>
      </c>
      <c r="BE493" s="1">
        <v>810</v>
      </c>
      <c r="BF493" s="1">
        <v>942</v>
      </c>
      <c r="BG493" s="1">
        <v>0.13</v>
      </c>
      <c r="BH493" s="1" t="s">
        <v>481</v>
      </c>
      <c r="BI493" s="1"/>
      <c r="BJ493" s="1">
        <v>15400.127272727272</v>
      </c>
      <c r="BK493" s="1"/>
    </row>
    <row r="494" spans="1:63" ht="16" thickBot="1" x14ac:dyDescent="0.25">
      <c r="A494" s="3">
        <v>494</v>
      </c>
      <c r="B494" s="3" t="s">
        <v>477</v>
      </c>
      <c r="C494" s="3" t="s">
        <v>543</v>
      </c>
      <c r="D494" s="1" t="s">
        <v>478</v>
      </c>
      <c r="E494" s="1"/>
      <c r="F494" s="1"/>
      <c r="G494" s="1" t="s">
        <v>102</v>
      </c>
      <c r="H494" s="1" t="s">
        <v>114</v>
      </c>
      <c r="I494" s="1"/>
      <c r="J494" s="113">
        <f>Table4[[#This Row],[total_cost_npr]]*(1/'Calculations &amp; Assumptions'!$C$6)</f>
        <v>1623328.5142417243</v>
      </c>
      <c r="K494" s="113">
        <f>Table4[[#This Row],[system_cost_npr_per_kwp]]*(1/'Calculations &amp; Assumptions'!$C$6)</f>
        <v>1881.0295645906422</v>
      </c>
      <c r="L494" s="23">
        <f>IF(Table4[[#This Row],[total_cost_inr]]&gt;0, Table4[[#This Row],[total_cost_inr]]*'Calculations &amp; Assumptions'!$C$7,IF(Table4[[#This Row],[total_cost_eur]]&gt;0,Table4[[#This Row],[total_cost_eur]]*'Calculations &amp; Assumptions'!$C$5,0))</f>
        <v>210870374</v>
      </c>
      <c r="M494" s="77">
        <f>IF(H494="smartmeter_1ph",Table4[[#This Row],[total_cost_npr]],Table4[[#This Row],[total_cost_npr]]/Table4[[#This Row],[pv_kWp]])</f>
        <v>244345.74044032444</v>
      </c>
      <c r="N494" s="1"/>
      <c r="O494" s="1">
        <f>Table4[[#This Row],[total_cost_inr]]/Table4[[#This Row],[pv_kWp]]</f>
        <v>0</v>
      </c>
      <c r="P494" s="1">
        <v>1622079.8</v>
      </c>
      <c r="Q494" s="1"/>
      <c r="R494" s="1"/>
      <c r="S494" s="1"/>
      <c r="T494" s="1">
        <v>863</v>
      </c>
      <c r="U494" s="1"/>
      <c r="V494" s="1"/>
      <c r="W494" s="1"/>
      <c r="X494" s="1"/>
      <c r="Y494" s="1"/>
      <c r="Z494" s="1"/>
      <c r="AA494" s="1"/>
      <c r="AB494" s="1"/>
      <c r="AC494" s="1"/>
      <c r="AD494" s="1">
        <v>1104</v>
      </c>
      <c r="AE494" s="1"/>
      <c r="AF494" s="1"/>
      <c r="AG494" s="1"/>
      <c r="AH494" s="6"/>
      <c r="AI494" s="1"/>
      <c r="AJ494" s="1"/>
      <c r="AK494" s="1"/>
      <c r="AL494" s="1"/>
      <c r="AM494" s="1"/>
      <c r="AN494" s="1"/>
      <c r="AO494" s="1"/>
      <c r="AP494" s="1"/>
      <c r="AQ494" s="1"/>
      <c r="AR494" s="1"/>
      <c r="AS494" s="1" t="s">
        <v>495</v>
      </c>
      <c r="AT494" s="1" t="s">
        <v>496</v>
      </c>
      <c r="AU494" s="1">
        <v>0.8</v>
      </c>
      <c r="AV494" s="1">
        <v>2253</v>
      </c>
      <c r="AW494" s="1">
        <v>399712</v>
      </c>
      <c r="AX494" s="1">
        <v>157710</v>
      </c>
      <c r="AY494" s="1">
        <v>338802.8</v>
      </c>
      <c r="AZ494" s="1">
        <v>0.4</v>
      </c>
      <c r="BA494" s="1">
        <v>22</v>
      </c>
      <c r="BB494" s="1">
        <v>1525279</v>
      </c>
      <c r="BC494" s="1">
        <v>1622079.8</v>
      </c>
      <c r="BD494" s="1">
        <v>49357</v>
      </c>
      <c r="BE494" s="1">
        <v>863</v>
      </c>
      <c r="BF494" s="1">
        <v>1104</v>
      </c>
      <c r="BG494" s="1">
        <v>0.13</v>
      </c>
      <c r="BH494" s="1" t="s">
        <v>481</v>
      </c>
      <c r="BI494" s="1"/>
      <c r="BJ494" s="1">
        <v>15400.127272727272</v>
      </c>
      <c r="BK494" s="1"/>
    </row>
    <row r="495" spans="1:63" ht="16" thickBot="1" x14ac:dyDescent="0.25">
      <c r="A495" s="3">
        <v>495</v>
      </c>
      <c r="B495" s="3" t="s">
        <v>477</v>
      </c>
      <c r="C495" s="3" t="s">
        <v>543</v>
      </c>
      <c r="D495" s="1" t="s">
        <v>478</v>
      </c>
      <c r="E495" s="1"/>
      <c r="F495" s="1"/>
      <c r="G495" s="1" t="s">
        <v>102</v>
      </c>
      <c r="H495" s="1" t="s">
        <v>114</v>
      </c>
      <c r="I495" s="1"/>
      <c r="J495" s="113">
        <f>Table4[[#This Row],[total_cost_npr]]*(1/'Calculations &amp; Assumptions'!$C$6)</f>
        <v>1713712.0400307928</v>
      </c>
      <c r="K495" s="113">
        <f>Table4[[#This Row],[system_cost_npr_per_kwp]]*(1/'Calculations &amp; Assumptions'!$C$6)</f>
        <v>1842.7011183126804</v>
      </c>
      <c r="L495" s="23">
        <f>IF(Table4[[#This Row],[total_cost_inr]]&gt;0, Table4[[#This Row],[total_cost_inr]]*'Calculations &amp; Assumptions'!$C$7,IF(Table4[[#This Row],[total_cost_eur]]&gt;0,Table4[[#This Row],[total_cost_eur]]*'Calculations &amp; Assumptions'!$C$5,0))</f>
        <v>222611194</v>
      </c>
      <c r="M495" s="77">
        <f>IF(H495="smartmeter_1ph",Table4[[#This Row],[total_cost_npr]],Table4[[#This Row],[total_cost_npr]]/Table4[[#This Row],[pv_kWp]])</f>
        <v>239366.87526881721</v>
      </c>
      <c r="N495" s="1"/>
      <c r="O495" s="1">
        <f>Table4[[#This Row],[total_cost_inr]]/Table4[[#This Row],[pv_kWp]]</f>
        <v>0</v>
      </c>
      <c r="P495" s="1">
        <v>1712393.8</v>
      </c>
      <c r="Q495" s="1"/>
      <c r="R495" s="1"/>
      <c r="S495" s="1"/>
      <c r="T495" s="1">
        <v>930</v>
      </c>
      <c r="U495" s="1"/>
      <c r="V495" s="1"/>
      <c r="W495" s="1"/>
      <c r="X495" s="1"/>
      <c r="Y495" s="1"/>
      <c r="Z495" s="1"/>
      <c r="AA495" s="1"/>
      <c r="AB495" s="1"/>
      <c r="AC495" s="1"/>
      <c r="AD495" s="1">
        <v>1278</v>
      </c>
      <c r="AE495" s="1"/>
      <c r="AF495" s="1"/>
      <c r="AG495" s="1"/>
      <c r="AH495" s="6"/>
      <c r="AI495" s="1"/>
      <c r="AJ495" s="1"/>
      <c r="AK495" s="1"/>
      <c r="AL495" s="1"/>
      <c r="AM495" s="1"/>
      <c r="AN495" s="1"/>
      <c r="AO495" s="1"/>
      <c r="AP495" s="1"/>
      <c r="AQ495" s="1"/>
      <c r="AR495" s="1"/>
      <c r="AS495" s="1" t="s">
        <v>495</v>
      </c>
      <c r="AT495" s="1" t="s">
        <v>496</v>
      </c>
      <c r="AU495" s="1">
        <v>0.85</v>
      </c>
      <c r="AV495" s="1">
        <v>2253</v>
      </c>
      <c r="AW495" s="1">
        <v>399712</v>
      </c>
      <c r="AX495" s="1">
        <v>157710</v>
      </c>
      <c r="AY495" s="1">
        <v>338802.8</v>
      </c>
      <c r="AZ495" s="1">
        <v>0.4</v>
      </c>
      <c r="BA495" s="1">
        <v>22</v>
      </c>
      <c r="BB495" s="1">
        <v>1615593</v>
      </c>
      <c r="BC495" s="1">
        <v>1712393.8</v>
      </c>
      <c r="BD495" s="1">
        <v>37098</v>
      </c>
      <c r="BE495" s="1">
        <v>930</v>
      </c>
      <c r="BF495" s="1">
        <v>1278</v>
      </c>
      <c r="BG495" s="1">
        <v>0.13</v>
      </c>
      <c r="BH495" s="1" t="s">
        <v>481</v>
      </c>
      <c r="BI495" s="1"/>
      <c r="BJ495" s="1">
        <v>15400.127272727272</v>
      </c>
      <c r="BK495" s="1"/>
    </row>
    <row r="496" spans="1:63" ht="16" thickBot="1" x14ac:dyDescent="0.25">
      <c r="A496" s="3">
        <v>496</v>
      </c>
      <c r="B496" s="3" t="s">
        <v>477</v>
      </c>
      <c r="C496" s="3" t="s">
        <v>543</v>
      </c>
      <c r="D496" s="1" t="s">
        <v>478</v>
      </c>
      <c r="E496" s="1"/>
      <c r="F496" s="1"/>
      <c r="G496" s="1" t="s">
        <v>102</v>
      </c>
      <c r="H496" s="1" t="s">
        <v>114</v>
      </c>
      <c r="I496" s="1"/>
      <c r="J496" s="113">
        <f>Table4[[#This Row],[total_cost_npr]]*(1/'Calculations &amp; Assumptions'!$C$6)</f>
        <v>1830208.6528098537</v>
      </c>
      <c r="K496" s="113">
        <f>Table4[[#This Row],[system_cost_npr_per_kwp]]*(1/'Calculations &amp; Assumptions'!$C$6)</f>
        <v>1674.4818415460693</v>
      </c>
      <c r="L496" s="23">
        <f>IF(Table4[[#This Row],[total_cost_inr]]&gt;0, Table4[[#This Row],[total_cost_inr]]*'Calculations &amp; Assumptions'!$C$7,IF(Table4[[#This Row],[total_cost_eur]]&gt;0,Table4[[#This Row],[total_cost_eur]]*'Calculations &amp; Assumptions'!$C$5,0))</f>
        <v>237744104</v>
      </c>
      <c r="M496" s="77">
        <f>IF(H496="smartmeter_1ph",Table4[[#This Row],[total_cost_npr]],Table4[[#This Row],[total_cost_npr]]/Table4[[#This Row],[pv_kWp]])</f>
        <v>217515.19121683441</v>
      </c>
      <c r="N496" s="1"/>
      <c r="O496" s="1">
        <f>Table4[[#This Row],[total_cost_inr]]/Table4[[#This Row],[pv_kWp]]</f>
        <v>0</v>
      </c>
      <c r="P496" s="1">
        <v>1828800.8</v>
      </c>
      <c r="Q496" s="1"/>
      <c r="R496" s="1"/>
      <c r="S496" s="1"/>
      <c r="T496" s="1">
        <v>1093</v>
      </c>
      <c r="U496" s="1"/>
      <c r="V496" s="1"/>
      <c r="W496" s="1"/>
      <c r="X496" s="1"/>
      <c r="Y496" s="1"/>
      <c r="Z496" s="1"/>
      <c r="AA496" s="1"/>
      <c r="AB496" s="1"/>
      <c r="AC496" s="1"/>
      <c r="AD496" s="1">
        <v>1410</v>
      </c>
      <c r="AE496" s="1"/>
      <c r="AF496" s="1"/>
      <c r="AG496" s="1"/>
      <c r="AH496" s="6"/>
      <c r="AI496" s="1"/>
      <c r="AJ496" s="1"/>
      <c r="AK496" s="1"/>
      <c r="AL496" s="1"/>
      <c r="AM496" s="1"/>
      <c r="AN496" s="1"/>
      <c r="AO496" s="1"/>
      <c r="AP496" s="1"/>
      <c r="AQ496" s="1"/>
      <c r="AR496" s="1"/>
      <c r="AS496" s="1" t="s">
        <v>495</v>
      </c>
      <c r="AT496" s="1" t="s">
        <v>496</v>
      </c>
      <c r="AU496" s="1">
        <v>0.9</v>
      </c>
      <c r="AV496" s="1">
        <v>2253</v>
      </c>
      <c r="AW496" s="1">
        <v>399712</v>
      </c>
      <c r="AX496" s="1">
        <v>157710</v>
      </c>
      <c r="AY496" s="1">
        <v>338802.8</v>
      </c>
      <c r="AZ496" s="1">
        <v>0.4</v>
      </c>
      <c r="BA496" s="1">
        <v>22</v>
      </c>
      <c r="BB496" s="1">
        <v>1732000</v>
      </c>
      <c r="BC496" s="1">
        <v>1828800.8</v>
      </c>
      <c r="BD496" s="1">
        <v>24615</v>
      </c>
      <c r="BE496" s="1">
        <v>1093</v>
      </c>
      <c r="BF496" s="1">
        <v>1410</v>
      </c>
      <c r="BG496" s="1">
        <v>0.13</v>
      </c>
      <c r="BH496" s="1" t="s">
        <v>481</v>
      </c>
      <c r="BI496" s="1"/>
      <c r="BJ496" s="1">
        <v>15400.127272727272</v>
      </c>
      <c r="BK496" s="1"/>
    </row>
    <row r="497" spans="1:63" ht="16" thickBot="1" x14ac:dyDescent="0.25">
      <c r="A497" s="3">
        <v>497</v>
      </c>
      <c r="B497" s="3" t="s">
        <v>477</v>
      </c>
      <c r="C497" s="3" t="s">
        <v>543</v>
      </c>
      <c r="D497" s="1" t="s">
        <v>478</v>
      </c>
      <c r="E497" s="1"/>
      <c r="F497" s="1"/>
      <c r="G497" s="1" t="s">
        <v>102</v>
      </c>
      <c r="H497" s="1" t="s">
        <v>114</v>
      </c>
      <c r="I497" s="1"/>
      <c r="J497" s="113">
        <f>Table4[[#This Row],[total_cost_npr]]*(1/'Calculations &amp; Assumptions'!$C$6)</f>
        <v>929736.68206312542</v>
      </c>
      <c r="K497" s="113">
        <f>Table4[[#This Row],[system_cost_npr_per_kwp]]*(1/'Calculations &amp; Assumptions'!$C$6)</f>
        <v>20211.667001372291</v>
      </c>
      <c r="L497" s="23">
        <f>IF(Table4[[#This Row],[total_cost_inr]]&gt;0, Table4[[#This Row],[total_cost_inr]]*'Calculations &amp; Assumptions'!$C$7,IF(Table4[[#This Row],[total_cost_eur]]&gt;0,Table4[[#This Row],[total_cost_eur]]*'Calculations &amp; Assumptions'!$C$5,0))</f>
        <v>120772795</v>
      </c>
      <c r="M497" s="77">
        <f>IF(H497="smartmeter_1ph",Table4[[#This Row],[total_cost_npr]],Table4[[#This Row],[total_cost_npr]]/Table4[[#This Row],[pv_kWp]])</f>
        <v>2625495.5434782607</v>
      </c>
      <c r="N497" s="1"/>
      <c r="O497" s="1">
        <f>Table4[[#This Row],[total_cost_inr]]/Table4[[#This Row],[pv_kWp]]</f>
        <v>0</v>
      </c>
      <c r="P497" s="1">
        <v>929021.5</v>
      </c>
      <c r="Q497" s="1"/>
      <c r="R497" s="1"/>
      <c r="S497" s="1"/>
      <c r="T497" s="1">
        <v>46</v>
      </c>
      <c r="U497" s="1"/>
      <c r="V497" s="1"/>
      <c r="W497" s="1"/>
      <c r="X497" s="1"/>
      <c r="Y497" s="1"/>
      <c r="Z497" s="1"/>
      <c r="AA497" s="1"/>
      <c r="AB497" s="1"/>
      <c r="AC497" s="1"/>
      <c r="AD497" s="1">
        <v>10</v>
      </c>
      <c r="AE497" s="1"/>
      <c r="AF497" s="1"/>
      <c r="AG497" s="1"/>
      <c r="AH497" s="6"/>
      <c r="AI497" s="1"/>
      <c r="AJ497" s="1"/>
      <c r="AK497" s="1"/>
      <c r="AL497" s="1"/>
      <c r="AM497" s="1"/>
      <c r="AN497" s="1"/>
      <c r="AO497" s="1"/>
      <c r="AP497" s="1"/>
      <c r="AQ497" s="1"/>
      <c r="AR497" s="1"/>
      <c r="AS497" s="1" t="s">
        <v>497</v>
      </c>
      <c r="AT497" s="1" t="s">
        <v>498</v>
      </c>
      <c r="AU497" s="1">
        <v>0.1</v>
      </c>
      <c r="AV497" s="1">
        <v>2277</v>
      </c>
      <c r="AW497" s="1">
        <v>580000</v>
      </c>
      <c r="AX497" s="1">
        <v>159390</v>
      </c>
      <c r="AY497" s="1">
        <v>609884.5</v>
      </c>
      <c r="AZ497" s="1">
        <v>0.45</v>
      </c>
      <c r="BA497" s="1">
        <v>24</v>
      </c>
      <c r="BB497" s="1">
        <v>739747</v>
      </c>
      <c r="BC497" s="1">
        <v>929021.5</v>
      </c>
      <c r="BD497" s="1">
        <v>171684</v>
      </c>
      <c r="BE497" s="1">
        <v>46</v>
      </c>
      <c r="BF497" s="1">
        <v>10</v>
      </c>
      <c r="BG497" s="1">
        <v>0.12</v>
      </c>
      <c r="BH497" s="1" t="s">
        <v>481</v>
      </c>
      <c r="BI497" s="1"/>
      <c r="BJ497" s="1">
        <v>25411.854166666668</v>
      </c>
      <c r="BK497" s="1"/>
    </row>
    <row r="498" spans="1:63" ht="16" thickBot="1" x14ac:dyDescent="0.25">
      <c r="A498" s="3">
        <v>498</v>
      </c>
      <c r="B498" s="3" t="s">
        <v>477</v>
      </c>
      <c r="C498" s="3" t="s">
        <v>543</v>
      </c>
      <c r="D498" s="1" t="s">
        <v>478</v>
      </c>
      <c r="E498" s="1"/>
      <c r="F498" s="1"/>
      <c r="G498" s="1" t="s">
        <v>102</v>
      </c>
      <c r="H498" s="1" t="s">
        <v>114</v>
      </c>
      <c r="I498" s="1"/>
      <c r="J498" s="113">
        <f>Table4[[#This Row],[total_cost_npr]]*(1/'Calculations &amp; Assumptions'!$C$6)</f>
        <v>936995.26558891451</v>
      </c>
      <c r="K498" s="113">
        <f>Table4[[#This Row],[system_cost_npr_per_kwp]]*(1/'Calculations &amp; Assumptions'!$C$6)</f>
        <v>14415.311778290992</v>
      </c>
      <c r="L498" s="23">
        <f>IF(Table4[[#This Row],[total_cost_inr]]&gt;0, Table4[[#This Row],[total_cost_inr]]*'Calculations &amp; Assumptions'!$C$7,IF(Table4[[#This Row],[total_cost_eur]]&gt;0,Table4[[#This Row],[total_cost_eur]]*'Calculations &amp; Assumptions'!$C$5,0))</f>
        <v>121715685</v>
      </c>
      <c r="M498" s="77">
        <f>IF(H498="smartmeter_1ph",Table4[[#This Row],[total_cost_npr]],Table4[[#This Row],[total_cost_npr]]/Table4[[#This Row],[pv_kWp]])</f>
        <v>1872549</v>
      </c>
      <c r="N498" s="1"/>
      <c r="O498" s="1">
        <f>Table4[[#This Row],[total_cost_inr]]/Table4[[#This Row],[pv_kWp]]</f>
        <v>0</v>
      </c>
      <c r="P498" s="1">
        <v>936274.5</v>
      </c>
      <c r="Q498" s="1"/>
      <c r="R498" s="1"/>
      <c r="S498" s="1"/>
      <c r="T498" s="1">
        <v>65</v>
      </c>
      <c r="U498" s="1"/>
      <c r="V498" s="1"/>
      <c r="W498" s="1"/>
      <c r="X498" s="1"/>
      <c r="Y498" s="1"/>
      <c r="Z498" s="1"/>
      <c r="AA498" s="1"/>
      <c r="AB498" s="1"/>
      <c r="AC498" s="1"/>
      <c r="AD498" s="1">
        <v>10</v>
      </c>
      <c r="AE498" s="1"/>
      <c r="AF498" s="1"/>
      <c r="AG498" s="1"/>
      <c r="AH498" s="6"/>
      <c r="AI498" s="1"/>
      <c r="AJ498" s="1"/>
      <c r="AK498" s="1"/>
      <c r="AL498" s="1"/>
      <c r="AM498" s="1"/>
      <c r="AN498" s="1"/>
      <c r="AO498" s="1"/>
      <c r="AP498" s="1"/>
      <c r="AQ498" s="1"/>
      <c r="AR498" s="1"/>
      <c r="AS498" s="1" t="s">
        <v>497</v>
      </c>
      <c r="AT498" s="1" t="s">
        <v>498</v>
      </c>
      <c r="AU498" s="1">
        <v>0.15</v>
      </c>
      <c r="AV498" s="1">
        <v>2277</v>
      </c>
      <c r="AW498" s="1">
        <v>580000</v>
      </c>
      <c r="AX498" s="1">
        <v>159390</v>
      </c>
      <c r="AY498" s="1">
        <v>609884.5</v>
      </c>
      <c r="AZ498" s="1">
        <v>0.45</v>
      </c>
      <c r="BA498" s="1">
        <v>24</v>
      </c>
      <c r="BB498" s="1">
        <v>747000</v>
      </c>
      <c r="BC498" s="1">
        <v>936274.5</v>
      </c>
      <c r="BD498" s="1">
        <v>164527</v>
      </c>
      <c r="BE498" s="1">
        <v>65</v>
      </c>
      <c r="BF498" s="1">
        <v>10</v>
      </c>
      <c r="BG498" s="1">
        <v>0.12</v>
      </c>
      <c r="BH498" s="1" t="s">
        <v>481</v>
      </c>
      <c r="BI498" s="1"/>
      <c r="BJ498" s="1">
        <v>25411.854166666668</v>
      </c>
      <c r="BK498" s="1"/>
    </row>
    <row r="499" spans="1:63" ht="16" thickBot="1" x14ac:dyDescent="0.25">
      <c r="A499" s="3">
        <v>499</v>
      </c>
      <c r="B499" s="3" t="s">
        <v>477</v>
      </c>
      <c r="C499" s="3" t="s">
        <v>543</v>
      </c>
      <c r="D499" s="1" t="s">
        <v>478</v>
      </c>
      <c r="E499" s="1"/>
      <c r="F499" s="1"/>
      <c r="G499" s="1" t="s">
        <v>102</v>
      </c>
      <c r="H499" s="1" t="s">
        <v>114</v>
      </c>
      <c r="I499" s="1"/>
      <c r="J499" s="113">
        <f>Table4[[#This Row],[total_cost_npr]]*(1/'Calculations &amp; Assumptions'!$C$6)</f>
        <v>949004.50346420298</v>
      </c>
      <c r="K499" s="113">
        <f>Table4[[#This Row],[system_cost_npr_per_kwp]]*(1/'Calculations &amp; Assumptions'!$C$6)</f>
        <v>10544.49448293559</v>
      </c>
      <c r="L499" s="23">
        <f>IF(Table4[[#This Row],[total_cost_inr]]&gt;0, Table4[[#This Row],[total_cost_inr]]*'Calculations &amp; Assumptions'!$C$7,IF(Table4[[#This Row],[total_cost_eur]]&gt;0,Table4[[#This Row],[total_cost_eur]]*'Calculations &amp; Assumptions'!$C$5,0))</f>
        <v>123275684.99999999</v>
      </c>
      <c r="M499" s="77">
        <f>IF(H499="smartmeter_1ph",Table4[[#This Row],[total_cost_npr]],Table4[[#This Row],[total_cost_npr]]/Table4[[#This Row],[pv_kWp]])</f>
        <v>1369729.8333333333</v>
      </c>
      <c r="N499" s="1"/>
      <c r="O499" s="1">
        <f>Table4[[#This Row],[total_cost_inr]]/Table4[[#This Row],[pv_kWp]]</f>
        <v>0</v>
      </c>
      <c r="P499" s="1">
        <v>948274.49999999988</v>
      </c>
      <c r="Q499" s="1"/>
      <c r="R499" s="1"/>
      <c r="S499" s="1"/>
      <c r="T499" s="1">
        <v>90</v>
      </c>
      <c r="U499" s="1"/>
      <c r="V499" s="1"/>
      <c r="W499" s="1"/>
      <c r="X499" s="1"/>
      <c r="Y499" s="1"/>
      <c r="Z499" s="1"/>
      <c r="AA499" s="1"/>
      <c r="AB499" s="1"/>
      <c r="AC499" s="1"/>
      <c r="AD499" s="1">
        <v>10</v>
      </c>
      <c r="AE499" s="1"/>
      <c r="AF499" s="1"/>
      <c r="AG499" s="1"/>
      <c r="AH499" s="6"/>
      <c r="AI499" s="1"/>
      <c r="AJ499" s="1"/>
      <c r="AK499" s="1"/>
      <c r="AL499" s="1"/>
      <c r="AM499" s="1"/>
      <c r="AN499" s="1"/>
      <c r="AO499" s="1"/>
      <c r="AP499" s="1"/>
      <c r="AQ499" s="1"/>
      <c r="AR499" s="1"/>
      <c r="AS499" s="1" t="s">
        <v>497</v>
      </c>
      <c r="AT499" s="1" t="s">
        <v>498</v>
      </c>
      <c r="AU499" s="1">
        <v>0.2</v>
      </c>
      <c r="AV499" s="1">
        <v>2277</v>
      </c>
      <c r="AW499" s="1">
        <v>580000</v>
      </c>
      <c r="AX499" s="1">
        <v>159390</v>
      </c>
      <c r="AY499" s="1">
        <v>609884.5</v>
      </c>
      <c r="AZ499" s="1">
        <v>0.45</v>
      </c>
      <c r="BA499" s="1">
        <v>24</v>
      </c>
      <c r="BB499" s="1">
        <v>758999.99999999988</v>
      </c>
      <c r="BC499" s="1">
        <v>948274.49999999988</v>
      </c>
      <c r="BD499" s="1">
        <v>155305</v>
      </c>
      <c r="BE499" s="1">
        <v>90</v>
      </c>
      <c r="BF499" s="1">
        <v>10</v>
      </c>
      <c r="BG499" s="1">
        <v>0.12</v>
      </c>
      <c r="BH499" s="1" t="s">
        <v>481</v>
      </c>
      <c r="BI499" s="1"/>
      <c r="BJ499" s="1">
        <v>25411.854166666668</v>
      </c>
      <c r="BK499" s="1"/>
    </row>
    <row r="500" spans="1:63" ht="16" thickBot="1" x14ac:dyDescent="0.25">
      <c r="A500" s="3">
        <v>500</v>
      </c>
      <c r="B500" s="3" t="s">
        <v>477</v>
      </c>
      <c r="C500" s="3" t="s">
        <v>543</v>
      </c>
      <c r="D500" s="1" t="s">
        <v>478</v>
      </c>
      <c r="E500" s="1"/>
      <c r="F500" s="1"/>
      <c r="G500" s="1" t="s">
        <v>102</v>
      </c>
      <c r="H500" s="1" t="s">
        <v>114</v>
      </c>
      <c r="I500" s="1"/>
      <c r="J500" s="113">
        <f>Table4[[#This Row],[total_cost_npr]]*(1/'Calculations &amp; Assumptions'!$C$6)</f>
        <v>983030.67744418758</v>
      </c>
      <c r="K500" s="113">
        <f>Table4[[#This Row],[system_cost_npr_per_kwp]]*(1/'Calculations &amp; Assumptions'!$C$6)</f>
        <v>6342.1334028657266</v>
      </c>
      <c r="L500" s="23">
        <f>IF(Table4[[#This Row],[total_cost_inr]]&gt;0, Table4[[#This Row],[total_cost_inr]]*'Calculations &amp; Assumptions'!$C$7,IF(Table4[[#This Row],[total_cost_eur]]&gt;0,Table4[[#This Row],[total_cost_eur]]*'Calculations &amp; Assumptions'!$C$5,0))</f>
        <v>127695684.99999999</v>
      </c>
      <c r="M500" s="77">
        <f>IF(H500="smartmeter_1ph",Table4[[#This Row],[total_cost_npr]],Table4[[#This Row],[total_cost_npr]]/Table4[[#This Row],[pv_kWp]])</f>
        <v>823843.12903225794</v>
      </c>
      <c r="N500" s="1"/>
      <c r="O500" s="1">
        <f>Table4[[#This Row],[total_cost_inr]]/Table4[[#This Row],[pv_kWp]]</f>
        <v>0</v>
      </c>
      <c r="P500" s="1">
        <v>982274.49999999988</v>
      </c>
      <c r="Q500" s="1"/>
      <c r="R500" s="1"/>
      <c r="S500" s="1"/>
      <c r="T500" s="1">
        <v>155</v>
      </c>
      <c r="U500" s="1"/>
      <c r="V500" s="1"/>
      <c r="W500" s="1"/>
      <c r="X500" s="1"/>
      <c r="Y500" s="1"/>
      <c r="Z500" s="1"/>
      <c r="AA500" s="1"/>
      <c r="AB500" s="1"/>
      <c r="AC500" s="1"/>
      <c r="AD500" s="1">
        <v>25</v>
      </c>
      <c r="AE500" s="1"/>
      <c r="AF500" s="1"/>
      <c r="AG500" s="1"/>
      <c r="AH500" s="6"/>
      <c r="AI500" s="1"/>
      <c r="AJ500" s="1"/>
      <c r="AK500" s="1"/>
      <c r="AL500" s="1"/>
      <c r="AM500" s="1"/>
      <c r="AN500" s="1"/>
      <c r="AO500" s="1"/>
      <c r="AP500" s="1"/>
      <c r="AQ500" s="1"/>
      <c r="AR500" s="1"/>
      <c r="AS500" s="1" t="s">
        <v>497</v>
      </c>
      <c r="AT500" s="1" t="s">
        <v>498</v>
      </c>
      <c r="AU500" s="1">
        <v>0.3</v>
      </c>
      <c r="AV500" s="1">
        <v>2277</v>
      </c>
      <c r="AW500" s="1">
        <v>580000</v>
      </c>
      <c r="AX500" s="1">
        <v>159390</v>
      </c>
      <c r="AY500" s="1">
        <v>609884.5</v>
      </c>
      <c r="AZ500" s="1">
        <v>0.45</v>
      </c>
      <c r="BA500" s="1">
        <v>24</v>
      </c>
      <c r="BB500" s="1">
        <v>792999.99999999988</v>
      </c>
      <c r="BC500" s="1">
        <v>982274.49999999988</v>
      </c>
      <c r="BD500" s="1">
        <v>137539</v>
      </c>
      <c r="BE500" s="1">
        <v>155</v>
      </c>
      <c r="BF500" s="1">
        <v>25</v>
      </c>
      <c r="BG500" s="1">
        <v>0.12</v>
      </c>
      <c r="BH500" s="1" t="s">
        <v>481</v>
      </c>
      <c r="BI500" s="1"/>
      <c r="BJ500" s="1">
        <v>25411.854166666668</v>
      </c>
      <c r="BK500" s="1"/>
    </row>
    <row r="501" spans="1:63" ht="16" thickBot="1" x14ac:dyDescent="0.25">
      <c r="A501" s="3">
        <v>501</v>
      </c>
      <c r="B501" s="3" t="s">
        <v>477</v>
      </c>
      <c r="C501" s="3" t="s">
        <v>543</v>
      </c>
      <c r="D501" s="1" t="s">
        <v>478</v>
      </c>
      <c r="E501" s="1"/>
      <c r="F501" s="1"/>
      <c r="G501" s="1" t="s">
        <v>102</v>
      </c>
      <c r="H501" s="1" t="s">
        <v>114</v>
      </c>
      <c r="I501" s="1"/>
      <c r="J501" s="113">
        <f>Table4[[#This Row],[total_cost_npr]]*(1/'Calculations &amp; Assumptions'!$C$6)</f>
        <v>1019058.3910700538</v>
      </c>
      <c r="K501" s="113">
        <f>Table4[[#This Row],[system_cost_npr_per_kwp]]*(1/'Calculations &amp; Assumptions'!$C$6)</f>
        <v>5095.2919553502697</v>
      </c>
      <c r="L501" s="23">
        <f>IF(Table4[[#This Row],[total_cost_inr]]&gt;0, Table4[[#This Row],[total_cost_inr]]*'Calculations &amp; Assumptions'!$C$7,IF(Table4[[#This Row],[total_cost_eur]]&gt;0,Table4[[#This Row],[total_cost_eur]]*'Calculations &amp; Assumptions'!$C$5,0))</f>
        <v>132375685</v>
      </c>
      <c r="M501" s="77">
        <f>IF(H501="smartmeter_1ph",Table4[[#This Row],[total_cost_npr]],Table4[[#This Row],[total_cost_npr]]/Table4[[#This Row],[pv_kWp]])</f>
        <v>661878.42500000005</v>
      </c>
      <c r="N501" s="1"/>
      <c r="O501" s="1">
        <f>Table4[[#This Row],[total_cost_inr]]/Table4[[#This Row],[pv_kWp]]</f>
        <v>0</v>
      </c>
      <c r="P501" s="1">
        <v>1018274.5</v>
      </c>
      <c r="Q501" s="1"/>
      <c r="R501" s="1"/>
      <c r="S501" s="1"/>
      <c r="T501" s="1">
        <v>200</v>
      </c>
      <c r="U501" s="1"/>
      <c r="V501" s="1"/>
      <c r="W501" s="1"/>
      <c r="X501" s="1"/>
      <c r="Y501" s="1"/>
      <c r="Z501" s="1"/>
      <c r="AA501" s="1"/>
      <c r="AB501" s="1"/>
      <c r="AC501" s="1"/>
      <c r="AD501" s="1">
        <v>60</v>
      </c>
      <c r="AE501" s="1"/>
      <c r="AF501" s="1"/>
      <c r="AG501" s="1"/>
      <c r="AH501" s="6"/>
      <c r="AI501" s="1"/>
      <c r="AJ501" s="1"/>
      <c r="AK501" s="1"/>
      <c r="AL501" s="1"/>
      <c r="AM501" s="1"/>
      <c r="AN501" s="1"/>
      <c r="AO501" s="1"/>
      <c r="AP501" s="1"/>
      <c r="AQ501" s="1"/>
      <c r="AR501" s="1"/>
      <c r="AS501" s="1" t="s">
        <v>497</v>
      </c>
      <c r="AT501" s="1" t="s">
        <v>498</v>
      </c>
      <c r="AU501" s="1">
        <v>0.35</v>
      </c>
      <c r="AV501" s="1">
        <v>2277</v>
      </c>
      <c r="AW501" s="1">
        <v>580000</v>
      </c>
      <c r="AX501" s="1">
        <v>159390</v>
      </c>
      <c r="AY501" s="1">
        <v>609884.5</v>
      </c>
      <c r="AZ501" s="1">
        <v>0.45</v>
      </c>
      <c r="BA501" s="1">
        <v>24</v>
      </c>
      <c r="BB501" s="1">
        <v>829000</v>
      </c>
      <c r="BC501" s="1">
        <v>1018274.5</v>
      </c>
      <c r="BD501" s="1">
        <v>127963</v>
      </c>
      <c r="BE501" s="1">
        <v>200</v>
      </c>
      <c r="BF501" s="1">
        <v>60</v>
      </c>
      <c r="BG501" s="1">
        <v>0.12</v>
      </c>
      <c r="BH501" s="1" t="s">
        <v>481</v>
      </c>
      <c r="BI501" s="1"/>
      <c r="BJ501" s="1">
        <v>25411.854166666668</v>
      </c>
      <c r="BK501" s="1"/>
    </row>
    <row r="502" spans="1:63" ht="16" thickBot="1" x14ac:dyDescent="0.25">
      <c r="A502" s="3">
        <v>502</v>
      </c>
      <c r="B502" s="3" t="s">
        <v>477</v>
      </c>
      <c r="C502" s="3" t="s">
        <v>543</v>
      </c>
      <c r="D502" s="1" t="s">
        <v>478</v>
      </c>
      <c r="E502" s="1"/>
      <c r="F502" s="1"/>
      <c r="G502" s="1" t="s">
        <v>102</v>
      </c>
      <c r="H502" s="1" t="s">
        <v>114</v>
      </c>
      <c r="I502" s="1"/>
      <c r="J502" s="113">
        <f>Table4[[#This Row],[total_cost_npr]]*(1/'Calculations &amp; Assumptions'!$C$6)</f>
        <v>959012.20169361029</v>
      </c>
      <c r="K502" s="113">
        <f>Table4[[#This Row],[system_cost_npr_per_kwp]]*(1/'Calculations &amp; Assumptions'!$C$6)</f>
        <v>8339.2365364661764</v>
      </c>
      <c r="L502" s="23">
        <f>IF(Table4[[#This Row],[total_cost_inr]]&gt;0, Table4[[#This Row],[total_cost_inr]]*'Calculations &amp; Assumptions'!$C$7,IF(Table4[[#This Row],[total_cost_eur]]&gt;0,Table4[[#This Row],[total_cost_eur]]*'Calculations &amp; Assumptions'!$C$5,0))</f>
        <v>124575684.99999999</v>
      </c>
      <c r="M502" s="77">
        <f>IF(H502="smartmeter_1ph",Table4[[#This Row],[total_cost_npr]],Table4[[#This Row],[total_cost_npr]]/Table4[[#This Row],[pv_kWp]])</f>
        <v>1083266.8260869563</v>
      </c>
      <c r="N502" s="1"/>
      <c r="O502" s="1">
        <f>Table4[[#This Row],[total_cost_inr]]/Table4[[#This Row],[pv_kWp]]</f>
        <v>0</v>
      </c>
      <c r="P502" s="1">
        <v>958274.49999999988</v>
      </c>
      <c r="Q502" s="1"/>
      <c r="R502" s="1"/>
      <c r="S502" s="1"/>
      <c r="T502" s="1">
        <v>115</v>
      </c>
      <c r="U502" s="1"/>
      <c r="V502" s="1"/>
      <c r="W502" s="1"/>
      <c r="X502" s="1"/>
      <c r="Y502" s="1"/>
      <c r="Z502" s="1"/>
      <c r="AA502" s="1"/>
      <c r="AB502" s="1"/>
      <c r="AC502" s="1"/>
      <c r="AD502" s="1">
        <v>10</v>
      </c>
      <c r="AE502" s="1"/>
      <c r="AF502" s="1"/>
      <c r="AG502" s="1"/>
      <c r="AH502" s="6"/>
      <c r="AI502" s="1"/>
      <c r="AJ502" s="1"/>
      <c r="AK502" s="1"/>
      <c r="AL502" s="1"/>
      <c r="AM502" s="1"/>
      <c r="AN502" s="1"/>
      <c r="AO502" s="1"/>
      <c r="AP502" s="1"/>
      <c r="AQ502" s="1"/>
      <c r="AR502" s="1"/>
      <c r="AS502" s="1" t="s">
        <v>497</v>
      </c>
      <c r="AT502" s="1" t="s">
        <v>498</v>
      </c>
      <c r="AU502" s="1">
        <v>0.25</v>
      </c>
      <c r="AV502" s="1">
        <v>2277</v>
      </c>
      <c r="AW502" s="1">
        <v>580000</v>
      </c>
      <c r="AX502" s="1">
        <v>159390</v>
      </c>
      <c r="AY502" s="1">
        <v>609884.5</v>
      </c>
      <c r="AZ502" s="1">
        <v>0.45</v>
      </c>
      <c r="BA502" s="1">
        <v>24</v>
      </c>
      <c r="BB502" s="1">
        <v>768999.99999999988</v>
      </c>
      <c r="BC502" s="1">
        <v>958274.49999999988</v>
      </c>
      <c r="BD502" s="1">
        <v>147340</v>
      </c>
      <c r="BE502" s="1">
        <v>115</v>
      </c>
      <c r="BF502" s="1">
        <v>10</v>
      </c>
      <c r="BG502" s="1">
        <v>0.12</v>
      </c>
      <c r="BH502" s="1" t="s">
        <v>481</v>
      </c>
      <c r="BI502" s="1"/>
      <c r="BJ502" s="1">
        <v>25411.854166666668</v>
      </c>
      <c r="BK502" s="1"/>
    </row>
    <row r="503" spans="1:63" ht="16" thickBot="1" x14ac:dyDescent="0.25">
      <c r="A503" s="3">
        <v>503</v>
      </c>
      <c r="B503" s="3" t="s">
        <v>477</v>
      </c>
      <c r="C503" s="3" t="s">
        <v>543</v>
      </c>
      <c r="D503" s="1" t="s">
        <v>478</v>
      </c>
      <c r="E503" s="1"/>
      <c r="F503" s="1"/>
      <c r="G503" s="1" t="s">
        <v>102</v>
      </c>
      <c r="H503" s="1" t="s">
        <v>114</v>
      </c>
      <c r="I503" s="1"/>
      <c r="J503" s="113">
        <f>Table4[[#This Row],[total_cost_npr]]*(1/'Calculations &amp; Assumptions'!$C$6)</f>
        <v>1059145.2270977674</v>
      </c>
      <c r="K503" s="113">
        <f>Table4[[#This Row],[system_cost_npr_per_kwp]]*(1/'Calculations &amp; Assumptions'!$C$6)</f>
        <v>4153.5106945010484</v>
      </c>
      <c r="L503" s="23">
        <f>IF(Table4[[#This Row],[total_cost_inr]]&gt;0, Table4[[#This Row],[total_cost_inr]]*'Calculations &amp; Assumptions'!$C$7,IF(Table4[[#This Row],[total_cost_eur]]&gt;0,Table4[[#This Row],[total_cost_eur]]*'Calculations &amp; Assumptions'!$C$5,0))</f>
        <v>137582965</v>
      </c>
      <c r="M503" s="77">
        <f>IF(H503="smartmeter_1ph",Table4[[#This Row],[total_cost_npr]],Table4[[#This Row],[total_cost_npr]]/Table4[[#This Row],[pv_kWp]])</f>
        <v>539541.03921568627</v>
      </c>
      <c r="N503" s="1"/>
      <c r="O503" s="1">
        <f>Table4[[#This Row],[total_cost_inr]]/Table4[[#This Row],[pv_kWp]]</f>
        <v>0</v>
      </c>
      <c r="P503" s="1">
        <v>1058330.5</v>
      </c>
      <c r="Q503" s="1"/>
      <c r="R503" s="1"/>
      <c r="S503" s="1"/>
      <c r="T503" s="1">
        <v>255</v>
      </c>
      <c r="U503" s="1"/>
      <c r="V503" s="1"/>
      <c r="W503" s="1"/>
      <c r="X503" s="1"/>
      <c r="Y503" s="1"/>
      <c r="Z503" s="1"/>
      <c r="AA503" s="1"/>
      <c r="AB503" s="1"/>
      <c r="AC503" s="1"/>
      <c r="AD503" s="1">
        <v>100</v>
      </c>
      <c r="AE503" s="1"/>
      <c r="AF503" s="1"/>
      <c r="AG503" s="1"/>
      <c r="AH503" s="6"/>
      <c r="AI503" s="1"/>
      <c r="AJ503" s="1"/>
      <c r="AK503" s="1"/>
      <c r="AL503" s="1"/>
      <c r="AM503" s="1"/>
      <c r="AN503" s="1"/>
      <c r="AO503" s="1"/>
      <c r="AP503" s="1"/>
      <c r="AQ503" s="1"/>
      <c r="AR503" s="1"/>
      <c r="AS503" s="1" t="s">
        <v>497</v>
      </c>
      <c r="AT503" s="1" t="s">
        <v>498</v>
      </c>
      <c r="AU503" s="1">
        <v>0.4</v>
      </c>
      <c r="AV503" s="1">
        <v>2277</v>
      </c>
      <c r="AW503" s="1">
        <v>580000</v>
      </c>
      <c r="AX503" s="1">
        <v>159390</v>
      </c>
      <c r="AY503" s="1">
        <v>609884.5</v>
      </c>
      <c r="AZ503" s="1">
        <v>0.45</v>
      </c>
      <c r="BA503" s="1">
        <v>24</v>
      </c>
      <c r="BB503" s="1">
        <v>869056</v>
      </c>
      <c r="BC503" s="1">
        <v>1058330.5</v>
      </c>
      <c r="BD503" s="1">
        <v>118157</v>
      </c>
      <c r="BE503" s="1">
        <v>255</v>
      </c>
      <c r="BF503" s="1">
        <v>100</v>
      </c>
      <c r="BG503" s="1">
        <v>0.12</v>
      </c>
      <c r="BH503" s="1" t="s">
        <v>481</v>
      </c>
      <c r="BI503" s="1"/>
      <c r="BJ503" s="1">
        <v>25411.854166666668</v>
      </c>
      <c r="BK503" s="1"/>
    </row>
    <row r="504" spans="1:63" ht="16" thickBot="1" x14ac:dyDescent="0.25">
      <c r="A504" s="3">
        <v>504</v>
      </c>
      <c r="B504" s="3" t="s">
        <v>477</v>
      </c>
      <c r="C504" s="3" t="s">
        <v>543</v>
      </c>
      <c r="D504" s="1" t="s">
        <v>478</v>
      </c>
      <c r="E504" s="1"/>
      <c r="F504" s="1"/>
      <c r="G504" s="1" t="s">
        <v>102</v>
      </c>
      <c r="H504" s="1" t="s">
        <v>114</v>
      </c>
      <c r="I504" s="1"/>
      <c r="J504" s="113">
        <f>Table4[[#This Row],[total_cost_npr]]*(1/'Calculations &amp; Assumptions'!$C$6)</f>
        <v>1106125.3656658968</v>
      </c>
      <c r="K504" s="113">
        <f>Table4[[#This Row],[system_cost_npr_per_kwp]]*(1/'Calculations &amp; Assumptions'!$C$6)</f>
        <v>3511.5090973520532</v>
      </c>
      <c r="L504" s="23">
        <f>IF(Table4[[#This Row],[total_cost_inr]]&gt;0, Table4[[#This Row],[total_cost_inr]]*'Calculations &amp; Assumptions'!$C$7,IF(Table4[[#This Row],[total_cost_eur]]&gt;0,Table4[[#This Row],[total_cost_eur]]*'Calculations &amp; Assumptions'!$C$5,0))</f>
        <v>143685685</v>
      </c>
      <c r="M504" s="77">
        <f>IF(H504="smartmeter_1ph",Table4[[#This Row],[total_cost_npr]],Table4[[#This Row],[total_cost_npr]]/Table4[[#This Row],[pv_kWp]])</f>
        <v>456145.03174603177</v>
      </c>
      <c r="N504" s="1"/>
      <c r="O504" s="1">
        <f>Table4[[#This Row],[total_cost_inr]]/Table4[[#This Row],[pv_kWp]]</f>
        <v>0</v>
      </c>
      <c r="P504" s="1">
        <v>1105274.5</v>
      </c>
      <c r="Q504" s="1"/>
      <c r="R504" s="1"/>
      <c r="S504" s="1"/>
      <c r="T504" s="1">
        <v>315</v>
      </c>
      <c r="U504" s="1"/>
      <c r="V504" s="1"/>
      <c r="W504" s="1"/>
      <c r="X504" s="1"/>
      <c r="Y504" s="1"/>
      <c r="Z504" s="1"/>
      <c r="AA504" s="1"/>
      <c r="AB504" s="1"/>
      <c r="AC504" s="1"/>
      <c r="AD504" s="1">
        <v>140</v>
      </c>
      <c r="AE504" s="1"/>
      <c r="AF504" s="1"/>
      <c r="AG504" s="1"/>
      <c r="AH504" s="6"/>
      <c r="AI504" s="1"/>
      <c r="AJ504" s="1"/>
      <c r="AK504" s="1"/>
      <c r="AL504" s="1"/>
      <c r="AM504" s="1"/>
      <c r="AN504" s="1"/>
      <c r="AO504" s="1"/>
      <c r="AP504" s="1"/>
      <c r="AQ504" s="1"/>
      <c r="AR504" s="1"/>
      <c r="AS504" s="1" t="s">
        <v>497</v>
      </c>
      <c r="AT504" s="1" t="s">
        <v>498</v>
      </c>
      <c r="AU504" s="1">
        <v>0.45</v>
      </c>
      <c r="AV504" s="1">
        <v>2277</v>
      </c>
      <c r="AW504" s="1">
        <v>580000</v>
      </c>
      <c r="AX504" s="1">
        <v>159390</v>
      </c>
      <c r="AY504" s="1">
        <v>609884.5</v>
      </c>
      <c r="AZ504" s="1">
        <v>0.45</v>
      </c>
      <c r="BA504" s="1">
        <v>24</v>
      </c>
      <c r="BB504" s="1">
        <v>915999.99999999988</v>
      </c>
      <c r="BC504" s="1">
        <v>1105274.5</v>
      </c>
      <c r="BD504" s="1">
        <v>108693</v>
      </c>
      <c r="BE504" s="1">
        <v>315</v>
      </c>
      <c r="BF504" s="1">
        <v>140</v>
      </c>
      <c r="BG504" s="1">
        <v>0.12</v>
      </c>
      <c r="BH504" s="1" t="s">
        <v>481</v>
      </c>
      <c r="BI504" s="1"/>
      <c r="BJ504" s="1">
        <v>25411.854166666668</v>
      </c>
      <c r="BK504" s="1"/>
    </row>
    <row r="505" spans="1:63" ht="16" thickBot="1" x14ac:dyDescent="0.25">
      <c r="A505" s="3">
        <v>505</v>
      </c>
      <c r="B505" s="3" t="s">
        <v>477</v>
      </c>
      <c r="C505" s="3" t="s">
        <v>543</v>
      </c>
      <c r="D505" s="1" t="s">
        <v>478</v>
      </c>
      <c r="E505" s="1"/>
      <c r="F505" s="1"/>
      <c r="G505" s="1" t="s">
        <v>102</v>
      </c>
      <c r="H505" s="1" t="s">
        <v>114</v>
      </c>
      <c r="I505" s="1"/>
      <c r="J505" s="113">
        <f>Table4[[#This Row],[total_cost_npr]]*(1/'Calculations &amp; Assumptions'!$C$6)</f>
        <v>1152160.77752117</v>
      </c>
      <c r="K505" s="113">
        <f>Table4[[#This Row],[system_cost_npr_per_kwp]]*(1/'Calculations &amp; Assumptions'!$C$6)</f>
        <v>3156.6048699210137</v>
      </c>
      <c r="L505" s="23">
        <f>IF(Table4[[#This Row],[total_cost_inr]]&gt;0, Table4[[#This Row],[total_cost_inr]]*'Calculations &amp; Assumptions'!$C$7,IF(Table4[[#This Row],[total_cost_eur]]&gt;0,Table4[[#This Row],[total_cost_eur]]*'Calculations &amp; Assumptions'!$C$5,0))</f>
        <v>149665685</v>
      </c>
      <c r="M505" s="77">
        <f>IF(H505="smartmeter_1ph",Table4[[#This Row],[total_cost_npr]],Table4[[#This Row],[total_cost_npr]]/Table4[[#This Row],[pv_kWp]])</f>
        <v>410042.9726027397</v>
      </c>
      <c r="N505" s="1"/>
      <c r="O505" s="1">
        <f>Table4[[#This Row],[total_cost_inr]]/Table4[[#This Row],[pv_kWp]]</f>
        <v>0</v>
      </c>
      <c r="P505" s="1">
        <v>1151274.5</v>
      </c>
      <c r="Q505" s="1"/>
      <c r="R505" s="1"/>
      <c r="S505" s="1"/>
      <c r="T505" s="1">
        <v>365</v>
      </c>
      <c r="U505" s="1"/>
      <c r="V505" s="1"/>
      <c r="W505" s="1"/>
      <c r="X505" s="1"/>
      <c r="Y505" s="1"/>
      <c r="Z505" s="1"/>
      <c r="AA505" s="1"/>
      <c r="AB505" s="1"/>
      <c r="AC505" s="1"/>
      <c r="AD505" s="1">
        <v>190</v>
      </c>
      <c r="AE505" s="1"/>
      <c r="AF505" s="1"/>
      <c r="AG505" s="1"/>
      <c r="AH505" s="6"/>
      <c r="AI505" s="1"/>
      <c r="AJ505" s="1"/>
      <c r="AK505" s="1"/>
      <c r="AL505" s="1"/>
      <c r="AM505" s="1"/>
      <c r="AN505" s="1"/>
      <c r="AO505" s="1"/>
      <c r="AP505" s="1"/>
      <c r="AQ505" s="1"/>
      <c r="AR505" s="1"/>
      <c r="AS505" s="1" t="s">
        <v>497</v>
      </c>
      <c r="AT505" s="1" t="s">
        <v>498</v>
      </c>
      <c r="AU505" s="1">
        <v>0.5</v>
      </c>
      <c r="AV505" s="1">
        <v>2277</v>
      </c>
      <c r="AW505" s="1">
        <v>580000</v>
      </c>
      <c r="AX505" s="1">
        <v>159390</v>
      </c>
      <c r="AY505" s="1">
        <v>609884.5</v>
      </c>
      <c r="AZ505" s="1">
        <v>0.45</v>
      </c>
      <c r="BA505" s="1">
        <v>24</v>
      </c>
      <c r="BB505" s="1">
        <v>962000</v>
      </c>
      <c r="BC505" s="1">
        <v>1151274.5</v>
      </c>
      <c r="BD505" s="1">
        <v>98582</v>
      </c>
      <c r="BE505" s="1">
        <v>365</v>
      </c>
      <c r="BF505" s="1">
        <v>190</v>
      </c>
      <c r="BG505" s="1">
        <v>0.12</v>
      </c>
      <c r="BH505" s="1" t="s">
        <v>481</v>
      </c>
      <c r="BI505" s="1"/>
      <c r="BJ505" s="1">
        <v>25411.854166666668</v>
      </c>
      <c r="BK505" s="1"/>
    </row>
    <row r="506" spans="1:63" ht="16" thickBot="1" x14ac:dyDescent="0.25">
      <c r="A506" s="3">
        <v>506</v>
      </c>
      <c r="B506" s="3" t="s">
        <v>477</v>
      </c>
      <c r="C506" s="3" t="s">
        <v>543</v>
      </c>
      <c r="D506" s="1" t="s">
        <v>478</v>
      </c>
      <c r="E506" s="1"/>
      <c r="F506" s="1"/>
      <c r="G506" s="1" t="s">
        <v>102</v>
      </c>
      <c r="H506" s="1" t="s">
        <v>114</v>
      </c>
      <c r="I506" s="1"/>
      <c r="J506" s="113">
        <f>Table4[[#This Row],[total_cost_npr]]*(1/'Calculations &amp; Assumptions'!$C$6)</f>
        <v>1190190.0307929176</v>
      </c>
      <c r="K506" s="113">
        <f>Table4[[#This Row],[system_cost_npr_per_kwp]]*(1/'Calculations &amp; Assumptions'!$C$6)</f>
        <v>2902.9025141290667</v>
      </c>
      <c r="L506" s="23">
        <f>IF(Table4[[#This Row],[total_cost_inr]]&gt;0, Table4[[#This Row],[total_cost_inr]]*'Calculations &amp; Assumptions'!$C$7,IF(Table4[[#This Row],[total_cost_eur]]&gt;0,Table4[[#This Row],[total_cost_eur]]*'Calculations &amp; Assumptions'!$C$5,0))</f>
        <v>154605685</v>
      </c>
      <c r="M506" s="77">
        <f>IF(H506="smartmeter_1ph",Table4[[#This Row],[total_cost_npr]],Table4[[#This Row],[total_cost_npr]]/Table4[[#This Row],[pv_kWp]])</f>
        <v>377087.03658536583</v>
      </c>
      <c r="N506" s="1"/>
      <c r="O506" s="1">
        <f>Table4[[#This Row],[total_cost_inr]]/Table4[[#This Row],[pv_kWp]]</f>
        <v>0</v>
      </c>
      <c r="P506" s="1">
        <v>1189274.5</v>
      </c>
      <c r="Q506" s="1"/>
      <c r="R506" s="1"/>
      <c r="S506" s="1"/>
      <c r="T506" s="1">
        <v>410</v>
      </c>
      <c r="U506" s="1"/>
      <c r="V506" s="1"/>
      <c r="W506" s="1"/>
      <c r="X506" s="1"/>
      <c r="Y506" s="1"/>
      <c r="Z506" s="1"/>
      <c r="AA506" s="1"/>
      <c r="AB506" s="1"/>
      <c r="AC506" s="1"/>
      <c r="AD506" s="1">
        <v>230</v>
      </c>
      <c r="AE506" s="1"/>
      <c r="AF506" s="1"/>
      <c r="AG506" s="1"/>
      <c r="AH506" s="6"/>
      <c r="AI506" s="1"/>
      <c r="AJ506" s="1"/>
      <c r="AK506" s="1"/>
      <c r="AL506" s="1"/>
      <c r="AM506" s="1"/>
      <c r="AN506" s="1"/>
      <c r="AO506" s="1"/>
      <c r="AP506" s="1"/>
      <c r="AQ506" s="1"/>
      <c r="AR506" s="1"/>
      <c r="AS506" s="1" t="s">
        <v>497</v>
      </c>
      <c r="AT506" s="1" t="s">
        <v>498</v>
      </c>
      <c r="AU506" s="1">
        <v>0.55000000000000004</v>
      </c>
      <c r="AV506" s="1">
        <v>2277</v>
      </c>
      <c r="AW506" s="1">
        <v>580000</v>
      </c>
      <c r="AX506" s="1">
        <v>159390</v>
      </c>
      <c r="AY506" s="1">
        <v>609884.5</v>
      </c>
      <c r="AZ506" s="1">
        <v>0.45</v>
      </c>
      <c r="BA506" s="1">
        <v>24</v>
      </c>
      <c r="BB506" s="1">
        <v>1000000</v>
      </c>
      <c r="BC506" s="1">
        <v>1189274.5</v>
      </c>
      <c r="BD506" s="1">
        <v>90059</v>
      </c>
      <c r="BE506" s="1">
        <v>410</v>
      </c>
      <c r="BF506" s="1">
        <v>230</v>
      </c>
      <c r="BG506" s="1">
        <v>0.12</v>
      </c>
      <c r="BH506" s="1" t="s">
        <v>481</v>
      </c>
      <c r="BI506" s="1"/>
      <c r="BJ506" s="1">
        <v>25411.854166666668</v>
      </c>
      <c r="BK506" s="1"/>
    </row>
    <row r="507" spans="1:63" ht="16" thickBot="1" x14ac:dyDescent="0.25">
      <c r="A507" s="3">
        <v>507</v>
      </c>
      <c r="B507" s="3" t="s">
        <v>477</v>
      </c>
      <c r="C507" s="3" t="s">
        <v>543</v>
      </c>
      <c r="D507" s="1" t="s">
        <v>478</v>
      </c>
      <c r="E507" s="1"/>
      <c r="F507" s="1"/>
      <c r="G507" s="1" t="s">
        <v>102</v>
      </c>
      <c r="H507" s="1" t="s">
        <v>114</v>
      </c>
      <c r="I507" s="1"/>
      <c r="J507" s="113">
        <f>Table4[[#This Row],[total_cost_npr]]*(1/'Calculations &amp; Assumptions'!$C$6)</f>
        <v>1253238.5296381831</v>
      </c>
      <c r="K507" s="113">
        <f>Table4[[#This Row],[system_cost_npr_per_kwp]]*(1/'Calculations &amp; Assumptions'!$C$6)</f>
        <v>2578.6801021361794</v>
      </c>
      <c r="L507" s="23">
        <f>IF(Table4[[#This Row],[total_cost_inr]]&gt;0, Table4[[#This Row],[total_cost_inr]]*'Calculations &amp; Assumptions'!$C$7,IF(Table4[[#This Row],[total_cost_eur]]&gt;0,Table4[[#This Row],[total_cost_eur]]*'Calculations &amp; Assumptions'!$C$5,0))</f>
        <v>162795685</v>
      </c>
      <c r="M507" s="77">
        <f>IF(H507="smartmeter_1ph",Table4[[#This Row],[total_cost_npr]],Table4[[#This Row],[total_cost_npr]]/Table4[[#This Row],[pv_kWp]])</f>
        <v>334970.54526748974</v>
      </c>
      <c r="N507" s="1"/>
      <c r="O507" s="1">
        <f>Table4[[#This Row],[total_cost_inr]]/Table4[[#This Row],[pv_kWp]]</f>
        <v>0</v>
      </c>
      <c r="P507" s="1">
        <v>1252274.5</v>
      </c>
      <c r="Q507" s="1"/>
      <c r="R507" s="1"/>
      <c r="S507" s="1"/>
      <c r="T507" s="1">
        <v>486</v>
      </c>
      <c r="U507" s="1"/>
      <c r="V507" s="1"/>
      <c r="W507" s="1"/>
      <c r="X507" s="1"/>
      <c r="Y507" s="1"/>
      <c r="Z507" s="1"/>
      <c r="AA507" s="1"/>
      <c r="AB507" s="1"/>
      <c r="AC507" s="1"/>
      <c r="AD507" s="1">
        <v>297</v>
      </c>
      <c r="AE507" s="1"/>
      <c r="AF507" s="1"/>
      <c r="AG507" s="1"/>
      <c r="AH507" s="6"/>
      <c r="AI507" s="1"/>
      <c r="AJ507" s="1"/>
      <c r="AK507" s="1"/>
      <c r="AL507" s="1"/>
      <c r="AM507" s="1"/>
      <c r="AN507" s="1"/>
      <c r="AO507" s="1"/>
      <c r="AP507" s="1"/>
      <c r="AQ507" s="1"/>
      <c r="AR507" s="1"/>
      <c r="AS507" s="1" t="s">
        <v>497</v>
      </c>
      <c r="AT507" s="1" t="s">
        <v>498</v>
      </c>
      <c r="AU507" s="1">
        <v>0.6</v>
      </c>
      <c r="AV507" s="1">
        <v>2277</v>
      </c>
      <c r="AW507" s="1">
        <v>580000</v>
      </c>
      <c r="AX507" s="1">
        <v>159390</v>
      </c>
      <c r="AY507" s="1">
        <v>609884.5</v>
      </c>
      <c r="AZ507" s="1">
        <v>0.45</v>
      </c>
      <c r="BA507" s="1">
        <v>24</v>
      </c>
      <c r="BB507" s="1">
        <v>1063000</v>
      </c>
      <c r="BC507" s="1">
        <v>1252274.5</v>
      </c>
      <c r="BD507" s="1">
        <v>78607</v>
      </c>
      <c r="BE507" s="1">
        <v>486</v>
      </c>
      <c r="BF507" s="1">
        <v>297</v>
      </c>
      <c r="BG507" s="1">
        <v>0.12</v>
      </c>
      <c r="BH507" s="1" t="s">
        <v>481</v>
      </c>
      <c r="BI507" s="1"/>
      <c r="BJ507" s="1">
        <v>25411.854166666668</v>
      </c>
      <c r="BK507" s="1"/>
    </row>
    <row r="508" spans="1:63" ht="16" thickBot="1" x14ac:dyDescent="0.25">
      <c r="A508" s="3">
        <v>508</v>
      </c>
      <c r="B508" s="3" t="s">
        <v>477</v>
      </c>
      <c r="C508" s="3" t="s">
        <v>543</v>
      </c>
      <c r="D508" s="1" t="s">
        <v>478</v>
      </c>
      <c r="E508" s="1"/>
      <c r="F508" s="1"/>
      <c r="G508" s="1" t="s">
        <v>102</v>
      </c>
      <c r="H508" s="1" t="s">
        <v>114</v>
      </c>
      <c r="I508" s="1"/>
      <c r="J508" s="113">
        <f>Table4[[#This Row],[total_cost_npr]]*(1/'Calculations &amp; Assumptions'!$C$6)</f>
        <v>1319289.3379522709</v>
      </c>
      <c r="K508" s="113">
        <f>Table4[[#This Row],[system_cost_npr_per_kwp]]*(1/'Calculations &amp; Assumptions'!$C$6)</f>
        <v>2270.721752069313</v>
      </c>
      <c r="L508" s="23">
        <f>IF(Table4[[#This Row],[total_cost_inr]]&gt;0, Table4[[#This Row],[total_cost_inr]]*'Calculations &amp; Assumptions'!$C$7,IF(Table4[[#This Row],[total_cost_eur]]&gt;0,Table4[[#This Row],[total_cost_eur]]*'Calculations &amp; Assumptions'!$C$5,0))</f>
        <v>171375685</v>
      </c>
      <c r="M508" s="77">
        <f>IF(H508="smartmeter_1ph",Table4[[#This Row],[total_cost_npr]],Table4[[#This Row],[total_cost_npr]]/Table4[[#This Row],[pv_kWp]])</f>
        <v>294966.75559380377</v>
      </c>
      <c r="N508" s="1"/>
      <c r="O508" s="1">
        <f>Table4[[#This Row],[total_cost_inr]]/Table4[[#This Row],[pv_kWp]]</f>
        <v>0</v>
      </c>
      <c r="P508" s="1">
        <v>1318274.5</v>
      </c>
      <c r="Q508" s="1"/>
      <c r="R508" s="1"/>
      <c r="S508" s="1"/>
      <c r="T508" s="1">
        <v>581</v>
      </c>
      <c r="U508" s="1"/>
      <c r="V508" s="1"/>
      <c r="W508" s="1"/>
      <c r="X508" s="1"/>
      <c r="Y508" s="1"/>
      <c r="Z508" s="1"/>
      <c r="AA508" s="1"/>
      <c r="AB508" s="1"/>
      <c r="AC508" s="1"/>
      <c r="AD508" s="1">
        <v>355</v>
      </c>
      <c r="AE508" s="1"/>
      <c r="AF508" s="1"/>
      <c r="AG508" s="1"/>
      <c r="AH508" s="6"/>
      <c r="AI508" s="1"/>
      <c r="AJ508" s="1"/>
      <c r="AK508" s="1"/>
      <c r="AL508" s="1"/>
      <c r="AM508" s="1"/>
      <c r="AN508" s="1"/>
      <c r="AO508" s="1"/>
      <c r="AP508" s="1"/>
      <c r="AQ508" s="1"/>
      <c r="AR508" s="1"/>
      <c r="AS508" s="1" t="s">
        <v>497</v>
      </c>
      <c r="AT508" s="1" t="s">
        <v>498</v>
      </c>
      <c r="AU508" s="1">
        <v>0.65</v>
      </c>
      <c r="AV508" s="1">
        <v>2277</v>
      </c>
      <c r="AW508" s="1">
        <v>580000</v>
      </c>
      <c r="AX508" s="1">
        <v>159390</v>
      </c>
      <c r="AY508" s="1">
        <v>609884.5</v>
      </c>
      <c r="AZ508" s="1">
        <v>0.45</v>
      </c>
      <c r="BA508" s="1">
        <v>24</v>
      </c>
      <c r="BB508" s="1">
        <v>1129000</v>
      </c>
      <c r="BC508" s="1">
        <v>1318274.5</v>
      </c>
      <c r="BD508" s="1">
        <v>69554</v>
      </c>
      <c r="BE508" s="1">
        <v>581</v>
      </c>
      <c r="BF508" s="1">
        <v>355</v>
      </c>
      <c r="BG508" s="1">
        <v>0.12</v>
      </c>
      <c r="BH508" s="1" t="s">
        <v>481</v>
      </c>
      <c r="BI508" s="1"/>
      <c r="BJ508" s="1">
        <v>25411.854166666668</v>
      </c>
      <c r="BK508" s="1"/>
    </row>
    <row r="509" spans="1:63" ht="16" thickBot="1" x14ac:dyDescent="0.25">
      <c r="A509" s="3">
        <v>509</v>
      </c>
      <c r="B509" s="3" t="s">
        <v>477</v>
      </c>
      <c r="C509" s="3" t="s">
        <v>543</v>
      </c>
      <c r="D509" s="1" t="s">
        <v>478</v>
      </c>
      <c r="E509" s="1"/>
      <c r="F509" s="1"/>
      <c r="G509" s="1" t="s">
        <v>102</v>
      </c>
      <c r="H509" s="1" t="s">
        <v>114</v>
      </c>
      <c r="I509" s="1"/>
      <c r="J509" s="113">
        <f>Table4[[#This Row],[total_cost_npr]]*(1/'Calculations &amp; Assumptions'!$C$6)</f>
        <v>1381337.0669745957</v>
      </c>
      <c r="K509" s="113">
        <f>Table4[[#This Row],[system_cost_npr_per_kwp]]*(1/'Calculations &amp; Assumptions'!$C$6)</f>
        <v>2286.9818989645623</v>
      </c>
      <c r="L509" s="23">
        <f>IF(Table4[[#This Row],[total_cost_inr]]&gt;0, Table4[[#This Row],[total_cost_inr]]*'Calculations &amp; Assumptions'!$C$7,IF(Table4[[#This Row],[total_cost_eur]]&gt;0,Table4[[#This Row],[total_cost_eur]]*'Calculations &amp; Assumptions'!$C$5,0))</f>
        <v>179435685</v>
      </c>
      <c r="M509" s="77">
        <f>IF(H509="smartmeter_1ph",Table4[[#This Row],[total_cost_npr]],Table4[[#This Row],[total_cost_npr]]/Table4[[#This Row],[pv_kWp]])</f>
        <v>297078.94867549668</v>
      </c>
      <c r="N509" s="1"/>
      <c r="O509" s="1">
        <f>Table4[[#This Row],[total_cost_inr]]/Table4[[#This Row],[pv_kWp]]</f>
        <v>0</v>
      </c>
      <c r="P509" s="1">
        <v>1380274.5</v>
      </c>
      <c r="Q509" s="1"/>
      <c r="R509" s="1"/>
      <c r="S509" s="1"/>
      <c r="T509" s="1">
        <v>604</v>
      </c>
      <c r="U509" s="1"/>
      <c r="V509" s="1"/>
      <c r="W509" s="1"/>
      <c r="X509" s="1"/>
      <c r="Y509" s="1"/>
      <c r="Z509" s="1"/>
      <c r="AA509" s="1"/>
      <c r="AB509" s="1"/>
      <c r="AC509" s="1"/>
      <c r="AD509" s="1">
        <v>497</v>
      </c>
      <c r="AE509" s="1"/>
      <c r="AF509" s="1"/>
      <c r="AG509" s="1"/>
      <c r="AH509" s="6"/>
      <c r="AI509" s="1"/>
      <c r="AJ509" s="1"/>
      <c r="AK509" s="1"/>
      <c r="AL509" s="1"/>
      <c r="AM509" s="1"/>
      <c r="AN509" s="1"/>
      <c r="AO509" s="1"/>
      <c r="AP509" s="1"/>
      <c r="AQ509" s="1"/>
      <c r="AR509" s="1"/>
      <c r="AS509" s="1" t="s">
        <v>497</v>
      </c>
      <c r="AT509" s="1" t="s">
        <v>498</v>
      </c>
      <c r="AU509" s="1">
        <v>0.7</v>
      </c>
      <c r="AV509" s="1">
        <v>2277</v>
      </c>
      <c r="AW509" s="1">
        <v>580000</v>
      </c>
      <c r="AX509" s="1">
        <v>159390</v>
      </c>
      <c r="AY509" s="1">
        <v>609884.5</v>
      </c>
      <c r="AZ509" s="1">
        <v>0.45</v>
      </c>
      <c r="BA509" s="1">
        <v>24</v>
      </c>
      <c r="BB509" s="1">
        <v>1191000</v>
      </c>
      <c r="BC509" s="1">
        <v>1380274.5</v>
      </c>
      <c r="BD509" s="1">
        <v>60421</v>
      </c>
      <c r="BE509" s="1">
        <v>604</v>
      </c>
      <c r="BF509" s="1">
        <v>497</v>
      </c>
      <c r="BG509" s="1">
        <v>0.12</v>
      </c>
      <c r="BH509" s="1" t="s">
        <v>481</v>
      </c>
      <c r="BI509" s="1"/>
      <c r="BJ509" s="1">
        <v>25411.854166666668</v>
      </c>
      <c r="BK509" s="1"/>
    </row>
    <row r="510" spans="1:63" ht="16" thickBot="1" x14ac:dyDescent="0.25">
      <c r="A510" s="3">
        <v>510</v>
      </c>
      <c r="B510" s="3" t="s">
        <v>477</v>
      </c>
      <c r="C510" s="3" t="s">
        <v>543</v>
      </c>
      <c r="D510" s="1" t="s">
        <v>478</v>
      </c>
      <c r="E510" s="1"/>
      <c r="F510" s="1"/>
      <c r="G510" s="1" t="s">
        <v>102</v>
      </c>
      <c r="H510" s="1" t="s">
        <v>114</v>
      </c>
      <c r="I510" s="1"/>
      <c r="J510" s="113">
        <f>Table4[[#This Row],[total_cost_npr]]*(1/'Calculations &amp; Assumptions'!$C$6)</f>
        <v>1452391.7244033872</v>
      </c>
      <c r="K510" s="113">
        <f>Table4[[#This Row],[system_cost_npr_per_kwp]]*(1/'Calculations &amp; Assumptions'!$C$6)</f>
        <v>2220.7824532161885</v>
      </c>
      <c r="L510" s="23">
        <f>IF(Table4[[#This Row],[total_cost_inr]]&gt;0, Table4[[#This Row],[total_cost_inr]]*'Calculations &amp; Assumptions'!$C$7,IF(Table4[[#This Row],[total_cost_eur]]&gt;0,Table4[[#This Row],[total_cost_eur]]*'Calculations &amp; Assumptions'!$C$5,0))</f>
        <v>188665685</v>
      </c>
      <c r="M510" s="77">
        <f>IF(H510="smartmeter_1ph",Table4[[#This Row],[total_cost_npr]],Table4[[#This Row],[total_cost_npr]]/Table4[[#This Row],[pv_kWp]])</f>
        <v>288479.6406727829</v>
      </c>
      <c r="N510" s="1"/>
      <c r="O510" s="1">
        <f>Table4[[#This Row],[total_cost_inr]]/Table4[[#This Row],[pv_kWp]]</f>
        <v>0</v>
      </c>
      <c r="P510" s="1">
        <v>1451274.5</v>
      </c>
      <c r="Q510" s="1"/>
      <c r="R510" s="1"/>
      <c r="S510" s="1"/>
      <c r="T510" s="1">
        <v>654</v>
      </c>
      <c r="U510" s="1"/>
      <c r="V510" s="1"/>
      <c r="W510" s="1"/>
      <c r="X510" s="1"/>
      <c r="Y510" s="1"/>
      <c r="Z510" s="1"/>
      <c r="AA510" s="1"/>
      <c r="AB510" s="1"/>
      <c r="AC510" s="1"/>
      <c r="AD510" s="1">
        <v>622</v>
      </c>
      <c r="AE510" s="1"/>
      <c r="AF510" s="1"/>
      <c r="AG510" s="1"/>
      <c r="AH510" s="6"/>
      <c r="AI510" s="1"/>
      <c r="AJ510" s="1"/>
      <c r="AK510" s="1"/>
      <c r="AL510" s="1"/>
      <c r="AM510" s="1"/>
      <c r="AN510" s="1"/>
      <c r="AO510" s="1"/>
      <c r="AP510" s="1"/>
      <c r="AQ510" s="1"/>
      <c r="AR510" s="1"/>
      <c r="AS510" s="1" t="s">
        <v>497</v>
      </c>
      <c r="AT510" s="1" t="s">
        <v>498</v>
      </c>
      <c r="AU510" s="1">
        <v>0.75</v>
      </c>
      <c r="AV510" s="1">
        <v>2277</v>
      </c>
      <c r="AW510" s="1">
        <v>580000</v>
      </c>
      <c r="AX510" s="1">
        <v>159390</v>
      </c>
      <c r="AY510" s="1">
        <v>609884.5</v>
      </c>
      <c r="AZ510" s="1">
        <v>0.45</v>
      </c>
      <c r="BA510" s="1">
        <v>24</v>
      </c>
      <c r="BB510" s="1">
        <v>1262000</v>
      </c>
      <c r="BC510" s="1">
        <v>1451274.5</v>
      </c>
      <c r="BD510" s="1">
        <v>50662</v>
      </c>
      <c r="BE510" s="1">
        <v>654</v>
      </c>
      <c r="BF510" s="1">
        <v>622</v>
      </c>
      <c r="BG510" s="1">
        <v>0.12</v>
      </c>
      <c r="BH510" s="1" t="s">
        <v>481</v>
      </c>
      <c r="BI510" s="1"/>
      <c r="BJ510" s="1">
        <v>25411.854166666668</v>
      </c>
      <c r="BK510" s="1"/>
    </row>
    <row r="511" spans="1:63" ht="16" thickBot="1" x14ac:dyDescent="0.25">
      <c r="A511" s="3">
        <v>511</v>
      </c>
      <c r="B511" s="3" t="s">
        <v>477</v>
      </c>
      <c r="C511" s="3" t="s">
        <v>543</v>
      </c>
      <c r="D511" s="1" t="s">
        <v>478</v>
      </c>
      <c r="E511" s="1"/>
      <c r="F511" s="1"/>
      <c r="G511" s="1" t="s">
        <v>102</v>
      </c>
      <c r="H511" s="1" t="s">
        <v>114</v>
      </c>
      <c r="I511" s="1"/>
      <c r="J511" s="113">
        <f>Table4[[#This Row],[total_cost_npr]]*(1/'Calculations &amp; Assumptions'!$C$6)</f>
        <v>1525447.9214780598</v>
      </c>
      <c r="K511" s="113">
        <f>Table4[[#This Row],[system_cost_npr_per_kwp]]*(1/'Calculations &amp; Assumptions'!$C$6)</f>
        <v>2198.0517600548415</v>
      </c>
      <c r="L511" s="23">
        <f>IF(Table4[[#This Row],[total_cost_inr]]&gt;0, Table4[[#This Row],[total_cost_inr]]*'Calculations &amp; Assumptions'!$C$7,IF(Table4[[#This Row],[total_cost_eur]]&gt;0,Table4[[#This Row],[total_cost_eur]]*'Calculations &amp; Assumptions'!$C$5,0))</f>
        <v>198155685</v>
      </c>
      <c r="M511" s="77">
        <f>IF(H511="smartmeter_1ph",Table4[[#This Row],[total_cost_npr]],Table4[[#This Row],[total_cost_npr]]/Table4[[#This Row],[pv_kWp]])</f>
        <v>285526.92363112391</v>
      </c>
      <c r="N511" s="1"/>
      <c r="O511" s="1">
        <f>Table4[[#This Row],[total_cost_inr]]/Table4[[#This Row],[pv_kWp]]</f>
        <v>0</v>
      </c>
      <c r="P511" s="1">
        <v>1524274.5</v>
      </c>
      <c r="Q511" s="1"/>
      <c r="R511" s="1"/>
      <c r="S511" s="1"/>
      <c r="T511" s="1">
        <v>694</v>
      </c>
      <c r="U511" s="1"/>
      <c r="V511" s="1"/>
      <c r="W511" s="1"/>
      <c r="X511" s="1"/>
      <c r="Y511" s="1"/>
      <c r="Z511" s="1"/>
      <c r="AA511" s="1"/>
      <c r="AB511" s="1"/>
      <c r="AC511" s="1"/>
      <c r="AD511" s="1">
        <v>759</v>
      </c>
      <c r="AE511" s="1"/>
      <c r="AF511" s="1"/>
      <c r="AG511" s="1"/>
      <c r="AH511" s="6"/>
      <c r="AI511" s="1"/>
      <c r="AJ511" s="1"/>
      <c r="AK511" s="1"/>
      <c r="AL511" s="1"/>
      <c r="AM511" s="1"/>
      <c r="AN511" s="1"/>
      <c r="AO511" s="1"/>
      <c r="AP511" s="1"/>
      <c r="AQ511" s="1"/>
      <c r="AR511" s="1"/>
      <c r="AS511" s="1" t="s">
        <v>497</v>
      </c>
      <c r="AT511" s="1" t="s">
        <v>498</v>
      </c>
      <c r="AU511" s="1">
        <v>0.8</v>
      </c>
      <c r="AV511" s="1">
        <v>2277</v>
      </c>
      <c r="AW511" s="1">
        <v>580000</v>
      </c>
      <c r="AX511" s="1">
        <v>159390</v>
      </c>
      <c r="AY511" s="1">
        <v>609884.5</v>
      </c>
      <c r="AZ511" s="1">
        <v>0.45</v>
      </c>
      <c r="BA511" s="1">
        <v>24</v>
      </c>
      <c r="BB511" s="1">
        <v>1335000</v>
      </c>
      <c r="BC511" s="1">
        <v>1524274.5</v>
      </c>
      <c r="BD511" s="1">
        <v>40480</v>
      </c>
      <c r="BE511" s="1">
        <v>694</v>
      </c>
      <c r="BF511" s="1">
        <v>759</v>
      </c>
      <c r="BG511" s="1">
        <v>0.12</v>
      </c>
      <c r="BH511" s="1" t="s">
        <v>481</v>
      </c>
      <c r="BI511" s="1"/>
      <c r="BJ511" s="1">
        <v>25411.854166666668</v>
      </c>
      <c r="BK511" s="1"/>
    </row>
    <row r="512" spans="1:63" ht="16" thickBot="1" x14ac:dyDescent="0.25">
      <c r="A512" s="3">
        <v>512</v>
      </c>
      <c r="B512" s="3" t="s">
        <v>477</v>
      </c>
      <c r="C512" s="3" t="s">
        <v>543</v>
      </c>
      <c r="D512" s="1" t="s">
        <v>478</v>
      </c>
      <c r="E512" s="1"/>
      <c r="F512" s="1"/>
      <c r="G512" s="1" t="s">
        <v>102</v>
      </c>
      <c r="H512" s="1" t="s">
        <v>114</v>
      </c>
      <c r="I512" s="1"/>
      <c r="J512" s="113">
        <f>Table4[[#This Row],[total_cost_npr]]*(1/'Calculations &amp; Assumptions'!$C$6)</f>
        <v>1599504.8883756734</v>
      </c>
      <c r="K512" s="113">
        <f>Table4[[#This Row],[system_cost_npr_per_kwp]]*(1/'Calculations &amp; Assumptions'!$C$6)</f>
        <v>2146.9864273498974</v>
      </c>
      <c r="L512" s="23">
        <f>IF(Table4[[#This Row],[total_cost_inr]]&gt;0, Table4[[#This Row],[total_cost_inr]]*'Calculations &amp; Assumptions'!$C$7,IF(Table4[[#This Row],[total_cost_eur]]&gt;0,Table4[[#This Row],[total_cost_eur]]*'Calculations &amp; Assumptions'!$C$5,0))</f>
        <v>207775685</v>
      </c>
      <c r="M512" s="77">
        <f>IF(H512="smartmeter_1ph",Table4[[#This Row],[total_cost_npr]],Table4[[#This Row],[total_cost_npr]]/Table4[[#This Row],[pv_kWp]])</f>
        <v>278893.53691275168</v>
      </c>
      <c r="N512" s="1"/>
      <c r="O512" s="1">
        <f>Table4[[#This Row],[total_cost_inr]]/Table4[[#This Row],[pv_kWp]]</f>
        <v>0</v>
      </c>
      <c r="P512" s="1">
        <v>1598274.5</v>
      </c>
      <c r="Q512" s="1"/>
      <c r="R512" s="1"/>
      <c r="S512" s="1"/>
      <c r="T512" s="1">
        <v>745</v>
      </c>
      <c r="U512" s="1"/>
      <c r="V512" s="1"/>
      <c r="W512" s="1"/>
      <c r="X512" s="1"/>
      <c r="Y512" s="1"/>
      <c r="Z512" s="1"/>
      <c r="AA512" s="1"/>
      <c r="AB512" s="1"/>
      <c r="AC512" s="1"/>
      <c r="AD512" s="1">
        <v>891</v>
      </c>
      <c r="AE512" s="1"/>
      <c r="AF512" s="1"/>
      <c r="AG512" s="1"/>
      <c r="AH512" s="6"/>
      <c r="AI512" s="1"/>
      <c r="AJ512" s="1"/>
      <c r="AK512" s="1"/>
      <c r="AL512" s="1"/>
      <c r="AM512" s="1"/>
      <c r="AN512" s="1"/>
      <c r="AO512" s="1"/>
      <c r="AP512" s="1"/>
      <c r="AQ512" s="1"/>
      <c r="AR512" s="1"/>
      <c r="AS512" s="1" t="s">
        <v>497</v>
      </c>
      <c r="AT512" s="1" t="s">
        <v>498</v>
      </c>
      <c r="AU512" s="1">
        <v>0.85</v>
      </c>
      <c r="AV512" s="1">
        <v>2277</v>
      </c>
      <c r="AW512" s="1">
        <v>580000</v>
      </c>
      <c r="AX512" s="1">
        <v>159390</v>
      </c>
      <c r="AY512" s="1">
        <v>609884.5</v>
      </c>
      <c r="AZ512" s="1">
        <v>0.45</v>
      </c>
      <c r="BA512" s="1">
        <v>24</v>
      </c>
      <c r="BB512" s="1">
        <v>1409000</v>
      </c>
      <c r="BC512" s="1">
        <v>1598274.5</v>
      </c>
      <c r="BD512" s="1">
        <v>30452</v>
      </c>
      <c r="BE512" s="1">
        <v>745</v>
      </c>
      <c r="BF512" s="1">
        <v>891</v>
      </c>
      <c r="BG512" s="1">
        <v>0.12</v>
      </c>
      <c r="BH512" s="1" t="s">
        <v>481</v>
      </c>
      <c r="BI512" s="1"/>
      <c r="BJ512" s="1">
        <v>25411.854166666668</v>
      </c>
      <c r="BK512" s="1"/>
    </row>
    <row r="513" spans="1:63" ht="16" thickBot="1" x14ac:dyDescent="0.25">
      <c r="A513" s="3">
        <v>513</v>
      </c>
      <c r="B513" s="3" t="s">
        <v>477</v>
      </c>
      <c r="C513" s="3" t="s">
        <v>543</v>
      </c>
      <c r="D513" s="1" t="s">
        <v>478</v>
      </c>
      <c r="E513" s="1"/>
      <c r="F513" s="1"/>
      <c r="G513" s="1" t="s">
        <v>102</v>
      </c>
      <c r="H513" s="1" t="s">
        <v>114</v>
      </c>
      <c r="I513" s="1"/>
      <c r="J513" s="113">
        <f>Table4[[#This Row],[total_cost_npr]]*(1/'Calculations &amp; Assumptions'!$C$6)</f>
        <v>1695578.7913779828</v>
      </c>
      <c r="K513" s="113">
        <f>Table4[[#This Row],[system_cost_npr_per_kwp]]*(1/'Calculations &amp; Assumptions'!$C$6)</f>
        <v>1969.3133465481799</v>
      </c>
      <c r="L513" s="23">
        <f>IF(Table4[[#This Row],[total_cost_inr]]&gt;0, Table4[[#This Row],[total_cost_inr]]*'Calculations &amp; Assumptions'!$C$7,IF(Table4[[#This Row],[total_cost_eur]]&gt;0,Table4[[#This Row],[total_cost_eur]]*'Calculations &amp; Assumptions'!$C$5,0))</f>
        <v>220255685</v>
      </c>
      <c r="M513" s="77">
        <f>IF(H513="smartmeter_1ph",Table4[[#This Row],[total_cost_npr]],Table4[[#This Row],[total_cost_npr]]/Table4[[#This Row],[pv_kWp]])</f>
        <v>255813.80371660859</v>
      </c>
      <c r="N513" s="1"/>
      <c r="O513" s="1">
        <f>Table4[[#This Row],[total_cost_inr]]/Table4[[#This Row],[pv_kWp]]</f>
        <v>0</v>
      </c>
      <c r="P513" s="1">
        <v>1694274.5</v>
      </c>
      <c r="Q513" s="1"/>
      <c r="R513" s="1"/>
      <c r="S513" s="1"/>
      <c r="T513" s="1">
        <v>861</v>
      </c>
      <c r="U513" s="1"/>
      <c r="V513" s="1"/>
      <c r="W513" s="1"/>
      <c r="X513" s="1"/>
      <c r="Y513" s="1"/>
      <c r="Z513" s="1"/>
      <c r="AA513" s="1"/>
      <c r="AB513" s="1"/>
      <c r="AC513" s="1"/>
      <c r="AD513" s="1">
        <v>1000</v>
      </c>
      <c r="AE513" s="1"/>
      <c r="AF513" s="1"/>
      <c r="AG513" s="1"/>
      <c r="AH513" s="6"/>
      <c r="AI513" s="1"/>
      <c r="AJ513" s="1"/>
      <c r="AK513" s="1"/>
      <c r="AL513" s="1"/>
      <c r="AM513" s="1"/>
      <c r="AN513" s="1"/>
      <c r="AO513" s="1"/>
      <c r="AP513" s="1"/>
      <c r="AQ513" s="1"/>
      <c r="AR513" s="1"/>
      <c r="AS513" s="1" t="s">
        <v>497</v>
      </c>
      <c r="AT513" s="1" t="s">
        <v>498</v>
      </c>
      <c r="AU513" s="1">
        <v>0.9</v>
      </c>
      <c r="AV513" s="1">
        <v>2277</v>
      </c>
      <c r="AW513" s="1">
        <v>580000</v>
      </c>
      <c r="AX513" s="1">
        <v>159390</v>
      </c>
      <c r="AY513" s="1">
        <v>609884.5</v>
      </c>
      <c r="AZ513" s="1">
        <v>0.45</v>
      </c>
      <c r="BA513" s="1">
        <v>24</v>
      </c>
      <c r="BB513" s="1">
        <v>1505000</v>
      </c>
      <c r="BC513" s="1">
        <v>1694274.5</v>
      </c>
      <c r="BD513" s="1">
        <v>20221</v>
      </c>
      <c r="BE513" s="1">
        <v>861</v>
      </c>
      <c r="BF513" s="1">
        <v>1000</v>
      </c>
      <c r="BG513" s="1">
        <v>0.12</v>
      </c>
      <c r="BH513" s="1" t="s">
        <v>481</v>
      </c>
      <c r="BI513" s="1"/>
      <c r="BJ513" s="1">
        <v>25411.854166666668</v>
      </c>
      <c r="BK513" s="1"/>
    </row>
    <row r="514" spans="1:63" ht="30" thickBot="1" x14ac:dyDescent="0.25">
      <c r="A514" s="3">
        <v>514</v>
      </c>
      <c r="B514" s="3" t="s">
        <v>477</v>
      </c>
      <c r="C514" s="3" t="s">
        <v>543</v>
      </c>
      <c r="D514" s="1" t="s">
        <v>478</v>
      </c>
      <c r="E514" s="1"/>
      <c r="F514" s="1"/>
      <c r="G514" s="1" t="s">
        <v>102</v>
      </c>
      <c r="H514" s="1" t="s">
        <v>114</v>
      </c>
      <c r="I514" s="1"/>
      <c r="J514" s="113">
        <f>Table4[[#This Row],[total_cost_npr]]*(1/'Calculations &amp; Assumptions'!$C$6)</f>
        <v>601770.40030792914</v>
      </c>
      <c r="K514" s="113">
        <f>Table4[[#This Row],[system_cost_npr_per_kwp]]*(1/'Calculations &amp; Assumptions'!$C$6)</f>
        <v>24070.816012317166</v>
      </c>
      <c r="L514" s="23">
        <f>IF(Table4[[#This Row],[total_cost_inr]]&gt;0, Table4[[#This Row],[total_cost_inr]]*'Calculations &amp; Assumptions'!$C$7,IF(Table4[[#This Row],[total_cost_eur]]&gt;0,Table4[[#This Row],[total_cost_eur]]*'Calculations &amp; Assumptions'!$C$5,0))</f>
        <v>78169975</v>
      </c>
      <c r="M514" s="77">
        <f>IF(H514="smartmeter_1ph",Table4[[#This Row],[total_cost_npr]],Table4[[#This Row],[total_cost_npr]]/Table4[[#This Row],[pv_kWp]])</f>
        <v>3126799</v>
      </c>
      <c r="N514" s="1"/>
      <c r="O514" s="1">
        <f>Table4[[#This Row],[total_cost_inr]]/Table4[[#This Row],[pv_kWp]]</f>
        <v>0</v>
      </c>
      <c r="P514" s="1">
        <v>601307.5</v>
      </c>
      <c r="Q514" s="1"/>
      <c r="R514" s="1"/>
      <c r="S514" s="1"/>
      <c r="T514" s="1">
        <v>25</v>
      </c>
      <c r="U514" s="1"/>
      <c r="V514" s="1"/>
      <c r="W514" s="1"/>
      <c r="X514" s="1"/>
      <c r="Y514" s="1"/>
      <c r="Z514" s="1"/>
      <c r="AA514" s="1"/>
      <c r="AB514" s="1"/>
      <c r="AC514" s="1"/>
      <c r="AD514" s="1">
        <v>5</v>
      </c>
      <c r="AE514" s="1"/>
      <c r="AF514" s="1"/>
      <c r="AG514" s="1"/>
      <c r="AH514" s="6"/>
      <c r="AI514" s="1"/>
      <c r="AJ514" s="1"/>
      <c r="AK514" s="1"/>
      <c r="AL514" s="1"/>
      <c r="AM514" s="1"/>
      <c r="AN514" s="1"/>
      <c r="AO514" s="1"/>
      <c r="AP514" s="1"/>
      <c r="AQ514" s="1"/>
      <c r="AR514" s="1"/>
      <c r="AS514" s="1" t="s">
        <v>493</v>
      </c>
      <c r="AT514" s="1" t="s">
        <v>499</v>
      </c>
      <c r="AU514" s="1">
        <v>0.1</v>
      </c>
      <c r="AV514" s="1">
        <v>1865</v>
      </c>
      <c r="AW514" s="1">
        <v>460000</v>
      </c>
      <c r="AX514" s="1">
        <v>130550</v>
      </c>
      <c r="AY514" s="1">
        <v>444757.50000000006</v>
      </c>
      <c r="AZ514" s="1">
        <v>0.35</v>
      </c>
      <c r="BA514" s="1">
        <v>19</v>
      </c>
      <c r="BB514" s="1">
        <v>486000</v>
      </c>
      <c r="BC514" s="1">
        <v>601307.5</v>
      </c>
      <c r="BD514" s="1">
        <v>117935</v>
      </c>
      <c r="BE514" s="1">
        <v>25</v>
      </c>
      <c r="BF514" s="1">
        <v>5</v>
      </c>
      <c r="BG514" s="1">
        <v>0.11</v>
      </c>
      <c r="BH514" s="1" t="s">
        <v>481</v>
      </c>
      <c r="BI514" s="1"/>
      <c r="BJ514" s="1">
        <v>23408.289473684214</v>
      </c>
      <c r="BK514" s="1"/>
    </row>
    <row r="515" spans="1:63" ht="30" thickBot="1" x14ac:dyDescent="0.25">
      <c r="A515" s="3">
        <v>515</v>
      </c>
      <c r="B515" s="3" t="s">
        <v>477</v>
      </c>
      <c r="C515" s="3" t="s">
        <v>543</v>
      </c>
      <c r="D515" s="1" t="s">
        <v>478</v>
      </c>
      <c r="E515" s="1"/>
      <c r="F515" s="1"/>
      <c r="G515" s="1" t="s">
        <v>102</v>
      </c>
      <c r="H515" s="1" t="s">
        <v>114</v>
      </c>
      <c r="I515" s="1"/>
      <c r="J515" s="113">
        <f>Table4[[#This Row],[total_cost_npr]]*(1/'Calculations &amp; Assumptions'!$C$6)</f>
        <v>607775.01924557344</v>
      </c>
      <c r="K515" s="113">
        <f>Table4[[#This Row],[system_cost_npr_per_kwp]]*(1/'Calculations &amp; Assumptions'!$C$6)</f>
        <v>17365.000549873526</v>
      </c>
      <c r="L515" s="23">
        <f>IF(Table4[[#This Row],[total_cost_inr]]&gt;0, Table4[[#This Row],[total_cost_inr]]*'Calculations &amp; Assumptions'!$C$7,IF(Table4[[#This Row],[total_cost_eur]]&gt;0,Table4[[#This Row],[total_cost_eur]]*'Calculations &amp; Assumptions'!$C$5,0))</f>
        <v>78949975</v>
      </c>
      <c r="M515" s="77">
        <f>IF(H515="smartmeter_1ph",Table4[[#This Row],[total_cost_npr]],Table4[[#This Row],[total_cost_npr]]/Table4[[#This Row],[pv_kWp]])</f>
        <v>2255713.5714285714</v>
      </c>
      <c r="N515" s="1"/>
      <c r="O515" s="1">
        <f>Table4[[#This Row],[total_cost_inr]]/Table4[[#This Row],[pv_kWp]]</f>
        <v>0</v>
      </c>
      <c r="P515" s="1">
        <v>607307.5</v>
      </c>
      <c r="Q515" s="1"/>
      <c r="R515" s="1"/>
      <c r="S515" s="1"/>
      <c r="T515" s="1">
        <v>35</v>
      </c>
      <c r="U515" s="1"/>
      <c r="V515" s="1"/>
      <c r="W515" s="1"/>
      <c r="X515" s="1"/>
      <c r="Y515" s="1"/>
      <c r="Z515" s="1"/>
      <c r="AA515" s="1"/>
      <c r="AB515" s="1"/>
      <c r="AC515" s="1"/>
      <c r="AD515" s="1">
        <v>5</v>
      </c>
      <c r="AE515" s="1"/>
      <c r="AF515" s="1"/>
      <c r="AG515" s="1"/>
      <c r="AH515" s="6"/>
      <c r="AI515" s="1"/>
      <c r="AJ515" s="1"/>
      <c r="AK515" s="1"/>
      <c r="AL515" s="1"/>
      <c r="AM515" s="1"/>
      <c r="AN515" s="1"/>
      <c r="AO515" s="1"/>
      <c r="AP515" s="1"/>
      <c r="AQ515" s="1"/>
      <c r="AR515" s="1"/>
      <c r="AS515" s="1" t="s">
        <v>493</v>
      </c>
      <c r="AT515" s="1" t="s">
        <v>499</v>
      </c>
      <c r="AU515" s="1">
        <v>0.15</v>
      </c>
      <c r="AV515" s="1">
        <v>1865</v>
      </c>
      <c r="AW515" s="1">
        <v>460000</v>
      </c>
      <c r="AX515" s="1">
        <v>130550</v>
      </c>
      <c r="AY515" s="1">
        <v>444757.50000000006</v>
      </c>
      <c r="AZ515" s="1">
        <v>0.35</v>
      </c>
      <c r="BA515" s="1">
        <v>19</v>
      </c>
      <c r="BB515" s="1">
        <v>492000</v>
      </c>
      <c r="BC515" s="1">
        <v>607307.5</v>
      </c>
      <c r="BD515" s="1">
        <v>113091</v>
      </c>
      <c r="BE515" s="1">
        <v>35</v>
      </c>
      <c r="BF515" s="1">
        <v>5</v>
      </c>
      <c r="BG515" s="1">
        <v>0.11</v>
      </c>
      <c r="BH515" s="1" t="s">
        <v>481</v>
      </c>
      <c r="BI515" s="1"/>
      <c r="BJ515" s="1">
        <v>23408.289473684214</v>
      </c>
      <c r="BK515" s="1"/>
    </row>
    <row r="516" spans="1:63" ht="30" thickBot="1" x14ac:dyDescent="0.25">
      <c r="A516" s="3">
        <v>516</v>
      </c>
      <c r="B516" s="3" t="s">
        <v>477</v>
      </c>
      <c r="C516" s="3" t="s">
        <v>543</v>
      </c>
      <c r="D516" s="1" t="s">
        <v>478</v>
      </c>
      <c r="E516" s="1"/>
      <c r="F516" s="1"/>
      <c r="G516" s="1" t="s">
        <v>102</v>
      </c>
      <c r="H516" s="1" t="s">
        <v>114</v>
      </c>
      <c r="I516" s="1"/>
      <c r="J516" s="113">
        <f>Table4[[#This Row],[total_cost_npr]]*(1/'Calculations &amp; Assumptions'!$C$6)</f>
        <v>616781.94765203993</v>
      </c>
      <c r="K516" s="113">
        <f>Table4[[#This Row],[system_cost_npr_per_kwp]]*(1/'Calculations &amp; Assumptions'!$C$6)</f>
        <v>13706.265503378667</v>
      </c>
      <c r="L516" s="23">
        <f>IF(Table4[[#This Row],[total_cost_inr]]&gt;0, Table4[[#This Row],[total_cost_inr]]*'Calculations &amp; Assumptions'!$C$7,IF(Table4[[#This Row],[total_cost_eur]]&gt;0,Table4[[#This Row],[total_cost_eur]]*'Calculations &amp; Assumptions'!$C$5,0))</f>
        <v>80119975</v>
      </c>
      <c r="M516" s="77">
        <f>IF(H516="smartmeter_1ph",Table4[[#This Row],[total_cost_npr]],Table4[[#This Row],[total_cost_npr]]/Table4[[#This Row],[pv_kWp]])</f>
        <v>1780443.888888889</v>
      </c>
      <c r="N516" s="1"/>
      <c r="O516" s="1">
        <f>Table4[[#This Row],[total_cost_inr]]/Table4[[#This Row],[pv_kWp]]</f>
        <v>0</v>
      </c>
      <c r="P516" s="1">
        <v>616307.5</v>
      </c>
      <c r="Q516" s="1"/>
      <c r="R516" s="1"/>
      <c r="S516" s="1"/>
      <c r="T516" s="1">
        <v>45</v>
      </c>
      <c r="U516" s="1"/>
      <c r="V516" s="1"/>
      <c r="W516" s="1"/>
      <c r="X516" s="1"/>
      <c r="Y516" s="1"/>
      <c r="Z516" s="1"/>
      <c r="AA516" s="1"/>
      <c r="AB516" s="1"/>
      <c r="AC516" s="1"/>
      <c r="AD516" s="1">
        <v>15</v>
      </c>
      <c r="AE516" s="1"/>
      <c r="AF516" s="1"/>
      <c r="AG516" s="1"/>
      <c r="AH516" s="6"/>
      <c r="AI516" s="1"/>
      <c r="AJ516" s="1"/>
      <c r="AK516" s="1"/>
      <c r="AL516" s="1"/>
      <c r="AM516" s="1"/>
      <c r="AN516" s="1"/>
      <c r="AO516" s="1"/>
      <c r="AP516" s="1"/>
      <c r="AQ516" s="1"/>
      <c r="AR516" s="1"/>
      <c r="AS516" s="1" t="s">
        <v>493</v>
      </c>
      <c r="AT516" s="1" t="s">
        <v>499</v>
      </c>
      <c r="AU516" s="1">
        <v>0.2</v>
      </c>
      <c r="AV516" s="1">
        <v>1865</v>
      </c>
      <c r="AW516" s="1">
        <v>460000</v>
      </c>
      <c r="AX516" s="1">
        <v>130550</v>
      </c>
      <c r="AY516" s="1">
        <v>444757.50000000006</v>
      </c>
      <c r="AZ516" s="1">
        <v>0.35</v>
      </c>
      <c r="BA516" s="1">
        <v>19</v>
      </c>
      <c r="BB516" s="1">
        <v>501000</v>
      </c>
      <c r="BC516" s="1">
        <v>616307.5</v>
      </c>
      <c r="BD516" s="1">
        <v>108342</v>
      </c>
      <c r="BE516" s="1">
        <v>45</v>
      </c>
      <c r="BF516" s="1">
        <v>15</v>
      </c>
      <c r="BG516" s="1">
        <v>0.11</v>
      </c>
      <c r="BH516" s="1" t="s">
        <v>481</v>
      </c>
      <c r="BI516" s="1"/>
      <c r="BJ516" s="1">
        <v>23408.289473684214</v>
      </c>
      <c r="BK516" s="1"/>
    </row>
    <row r="517" spans="1:63" ht="30" thickBot="1" x14ac:dyDescent="0.25">
      <c r="A517" s="3">
        <v>517</v>
      </c>
      <c r="B517" s="3" t="s">
        <v>477</v>
      </c>
      <c r="C517" s="3" t="s">
        <v>543</v>
      </c>
      <c r="D517" s="1" t="s">
        <v>478</v>
      </c>
      <c r="E517" s="1"/>
      <c r="F517" s="1"/>
      <c r="G517" s="1" t="s">
        <v>102</v>
      </c>
      <c r="H517" s="1" t="s">
        <v>114</v>
      </c>
      <c r="I517" s="1"/>
      <c r="J517" s="113">
        <f>Table4[[#This Row],[total_cost_npr]]*(1/'Calculations &amp; Assumptions'!$C$6)</f>
        <v>629791.95535026933</v>
      </c>
      <c r="K517" s="113">
        <f>Table4[[#This Row],[system_cost_npr_per_kwp]]*(1/'Calculations &amp; Assumptions'!$C$6)</f>
        <v>10496.532589171156</v>
      </c>
      <c r="L517" s="23">
        <f>IF(Table4[[#This Row],[total_cost_inr]]&gt;0, Table4[[#This Row],[total_cost_inr]]*'Calculations &amp; Assumptions'!$C$7,IF(Table4[[#This Row],[total_cost_eur]]&gt;0,Table4[[#This Row],[total_cost_eur]]*'Calculations &amp; Assumptions'!$C$5,0))</f>
        <v>81809975</v>
      </c>
      <c r="M517" s="77">
        <f>IF(H517="smartmeter_1ph",Table4[[#This Row],[total_cost_npr]],Table4[[#This Row],[total_cost_npr]]/Table4[[#This Row],[pv_kWp]])</f>
        <v>1363499.5833333333</v>
      </c>
      <c r="N517" s="1"/>
      <c r="O517" s="1">
        <f>Table4[[#This Row],[total_cost_inr]]/Table4[[#This Row],[pv_kWp]]</f>
        <v>0</v>
      </c>
      <c r="P517" s="1">
        <v>629307.5</v>
      </c>
      <c r="Q517" s="1"/>
      <c r="R517" s="1"/>
      <c r="S517" s="1"/>
      <c r="T517" s="1">
        <v>60</v>
      </c>
      <c r="U517" s="1"/>
      <c r="V517" s="1"/>
      <c r="W517" s="1"/>
      <c r="X517" s="1"/>
      <c r="Y517" s="1"/>
      <c r="Z517" s="1"/>
      <c r="AA517" s="1"/>
      <c r="AB517" s="1"/>
      <c r="AC517" s="1"/>
      <c r="AD517" s="1">
        <v>30</v>
      </c>
      <c r="AE517" s="1"/>
      <c r="AF517" s="1"/>
      <c r="AG517" s="1"/>
      <c r="AH517" s="6"/>
      <c r="AI517" s="1"/>
      <c r="AJ517" s="1"/>
      <c r="AK517" s="1"/>
      <c r="AL517" s="1"/>
      <c r="AM517" s="1"/>
      <c r="AN517" s="1"/>
      <c r="AO517" s="1"/>
      <c r="AP517" s="1"/>
      <c r="AQ517" s="1"/>
      <c r="AR517" s="1"/>
      <c r="AS517" s="1" t="s">
        <v>493</v>
      </c>
      <c r="AT517" s="1" t="s">
        <v>499</v>
      </c>
      <c r="AU517" s="1">
        <v>0.25</v>
      </c>
      <c r="AV517" s="1">
        <v>1865</v>
      </c>
      <c r="AW517" s="1">
        <v>460000</v>
      </c>
      <c r="AX517" s="1">
        <v>130550</v>
      </c>
      <c r="AY517" s="1">
        <v>444757.50000000006</v>
      </c>
      <c r="AZ517" s="1">
        <v>0.35</v>
      </c>
      <c r="BA517" s="1">
        <v>19</v>
      </c>
      <c r="BB517" s="1">
        <v>514000</v>
      </c>
      <c r="BC517" s="1">
        <v>629307.5</v>
      </c>
      <c r="BD517" s="1">
        <v>101810</v>
      </c>
      <c r="BE517" s="1">
        <v>60</v>
      </c>
      <c r="BF517" s="1">
        <v>30</v>
      </c>
      <c r="BG517" s="1">
        <v>0.11</v>
      </c>
      <c r="BH517" s="1" t="s">
        <v>481</v>
      </c>
      <c r="BI517" s="1"/>
      <c r="BJ517" s="1">
        <v>23408.289473684214</v>
      </c>
      <c r="BK517" s="1"/>
    </row>
    <row r="518" spans="1:63" ht="30" thickBot="1" x14ac:dyDescent="0.25">
      <c r="A518" s="3">
        <v>518</v>
      </c>
      <c r="B518" s="3" t="s">
        <v>477</v>
      </c>
      <c r="C518" s="3" t="s">
        <v>543</v>
      </c>
      <c r="D518" s="1" t="s">
        <v>478</v>
      </c>
      <c r="E518" s="1"/>
      <c r="F518" s="1"/>
      <c r="G518" s="1" t="s">
        <v>102</v>
      </c>
      <c r="H518" s="1" t="s">
        <v>114</v>
      </c>
      <c r="I518" s="1"/>
      <c r="J518" s="113">
        <f>Table4[[#This Row],[total_cost_npr]]*(1/'Calculations &amp; Assumptions'!$C$6)</f>
        <v>681831.98614318704</v>
      </c>
      <c r="K518" s="113">
        <f>Table4[[#This Row],[system_cost_npr_per_kwp]]*(1/'Calculations &amp; Assumptions'!$C$6)</f>
        <v>5681.9332178598916</v>
      </c>
      <c r="L518" s="23">
        <f>IF(Table4[[#This Row],[total_cost_inr]]&gt;0, Table4[[#This Row],[total_cost_inr]]*'Calculations &amp; Assumptions'!$C$7,IF(Table4[[#This Row],[total_cost_eur]]&gt;0,Table4[[#This Row],[total_cost_eur]]*'Calculations &amp; Assumptions'!$C$5,0))</f>
        <v>88569975</v>
      </c>
      <c r="M518" s="77">
        <f>IF(H518="smartmeter_1ph",Table4[[#This Row],[total_cost_npr]],Table4[[#This Row],[total_cost_npr]]/Table4[[#This Row],[pv_kWp]])</f>
        <v>738083.125</v>
      </c>
      <c r="N518" s="1"/>
      <c r="O518" s="1">
        <f>Table4[[#This Row],[total_cost_inr]]/Table4[[#This Row],[pv_kWp]]</f>
        <v>0</v>
      </c>
      <c r="P518" s="1">
        <v>681307.5</v>
      </c>
      <c r="Q518" s="1"/>
      <c r="R518" s="1"/>
      <c r="S518" s="1"/>
      <c r="T518" s="1">
        <v>120</v>
      </c>
      <c r="U518" s="1"/>
      <c r="V518" s="1"/>
      <c r="W518" s="1"/>
      <c r="X518" s="1"/>
      <c r="Y518" s="1"/>
      <c r="Z518" s="1"/>
      <c r="AA518" s="1"/>
      <c r="AB518" s="1"/>
      <c r="AC518" s="1"/>
      <c r="AD518" s="1">
        <v>90</v>
      </c>
      <c r="AE518" s="1"/>
      <c r="AF518" s="1"/>
      <c r="AG518" s="1"/>
      <c r="AH518" s="6"/>
      <c r="AI518" s="1"/>
      <c r="AJ518" s="1"/>
      <c r="AK518" s="1"/>
      <c r="AL518" s="1"/>
      <c r="AM518" s="1"/>
      <c r="AN518" s="1"/>
      <c r="AO518" s="1"/>
      <c r="AP518" s="1"/>
      <c r="AQ518" s="1"/>
      <c r="AR518" s="1"/>
      <c r="AS518" s="1" t="s">
        <v>493</v>
      </c>
      <c r="AT518" s="1" t="s">
        <v>499</v>
      </c>
      <c r="AU518" s="1">
        <v>0.4</v>
      </c>
      <c r="AV518" s="1">
        <v>1865</v>
      </c>
      <c r="AW518" s="1">
        <v>460000</v>
      </c>
      <c r="AX518" s="1">
        <v>130550</v>
      </c>
      <c r="AY518" s="1">
        <v>444757.50000000006</v>
      </c>
      <c r="AZ518" s="1">
        <v>0.35</v>
      </c>
      <c r="BA518" s="1">
        <v>19</v>
      </c>
      <c r="BB518" s="1">
        <v>566000</v>
      </c>
      <c r="BC518" s="1">
        <v>681307.5</v>
      </c>
      <c r="BD518" s="1">
        <v>84004</v>
      </c>
      <c r="BE518" s="1">
        <v>120</v>
      </c>
      <c r="BF518" s="1">
        <v>90</v>
      </c>
      <c r="BG518" s="1">
        <v>0.11</v>
      </c>
      <c r="BH518" s="1" t="s">
        <v>481</v>
      </c>
      <c r="BI518" s="1"/>
      <c r="BJ518" s="1">
        <v>23408.289473684214</v>
      </c>
      <c r="BK518" s="1"/>
    </row>
    <row r="519" spans="1:63" ht="30" thickBot="1" x14ac:dyDescent="0.25">
      <c r="A519" s="3">
        <v>519</v>
      </c>
      <c r="B519" s="3" t="s">
        <v>477</v>
      </c>
      <c r="C519" s="3" t="s">
        <v>543</v>
      </c>
      <c r="D519" s="1" t="s">
        <v>478</v>
      </c>
      <c r="E519" s="1"/>
      <c r="F519" s="1"/>
      <c r="G519" s="1" t="s">
        <v>102</v>
      </c>
      <c r="H519" s="1" t="s">
        <v>114</v>
      </c>
      <c r="I519" s="1"/>
      <c r="J519" s="113">
        <f>Table4[[#This Row],[total_cost_npr]]*(1/'Calculations &amp; Assumptions'!$C$6)</f>
        <v>646805.04234026163</v>
      </c>
      <c r="K519" s="113">
        <f>Table4[[#This Row],[system_cost_npr_per_kwp]]*(1/'Calculations &amp; Assumptions'!$C$6)</f>
        <v>8085.0630292532715</v>
      </c>
      <c r="L519" s="23">
        <f>IF(Table4[[#This Row],[total_cost_inr]]&gt;0, Table4[[#This Row],[total_cost_inr]]*'Calculations &amp; Assumptions'!$C$7,IF(Table4[[#This Row],[total_cost_eur]]&gt;0,Table4[[#This Row],[total_cost_eur]]*'Calculations &amp; Assumptions'!$C$5,0))</f>
        <v>84019975</v>
      </c>
      <c r="M519" s="77">
        <f>IF(H519="smartmeter_1ph",Table4[[#This Row],[total_cost_npr]],Table4[[#This Row],[total_cost_npr]]/Table4[[#This Row],[pv_kWp]])</f>
        <v>1050249.6875</v>
      </c>
      <c r="N519" s="1"/>
      <c r="O519" s="1">
        <f>Table4[[#This Row],[total_cost_inr]]/Table4[[#This Row],[pv_kWp]]</f>
        <v>0</v>
      </c>
      <c r="P519" s="1">
        <v>646307.5</v>
      </c>
      <c r="Q519" s="1"/>
      <c r="R519" s="1"/>
      <c r="S519" s="1"/>
      <c r="T519" s="1">
        <v>80</v>
      </c>
      <c r="U519" s="1"/>
      <c r="V519" s="1"/>
      <c r="W519" s="1"/>
      <c r="X519" s="1"/>
      <c r="Y519" s="1"/>
      <c r="Z519" s="1"/>
      <c r="AA519" s="1"/>
      <c r="AB519" s="1"/>
      <c r="AC519" s="1"/>
      <c r="AD519" s="1">
        <v>50</v>
      </c>
      <c r="AE519" s="1"/>
      <c r="AF519" s="1"/>
      <c r="AG519" s="1"/>
      <c r="AH519" s="6"/>
      <c r="AI519" s="1"/>
      <c r="AJ519" s="1"/>
      <c r="AK519" s="1"/>
      <c r="AL519" s="1"/>
      <c r="AM519" s="1"/>
      <c r="AN519" s="1"/>
      <c r="AO519" s="1"/>
      <c r="AP519" s="1"/>
      <c r="AQ519" s="1"/>
      <c r="AR519" s="1"/>
      <c r="AS519" s="1" t="s">
        <v>493</v>
      </c>
      <c r="AT519" s="1" t="s">
        <v>499</v>
      </c>
      <c r="AU519" s="1">
        <v>0.3</v>
      </c>
      <c r="AV519" s="1">
        <v>1865</v>
      </c>
      <c r="AW519" s="1">
        <v>460000</v>
      </c>
      <c r="AX519" s="1">
        <v>130550</v>
      </c>
      <c r="AY519" s="1">
        <v>444757.50000000006</v>
      </c>
      <c r="AZ519" s="1">
        <v>0.35</v>
      </c>
      <c r="BA519" s="1">
        <v>19</v>
      </c>
      <c r="BB519" s="1">
        <v>531000</v>
      </c>
      <c r="BC519" s="1">
        <v>646307.5</v>
      </c>
      <c r="BD519" s="1">
        <v>94118</v>
      </c>
      <c r="BE519" s="1">
        <v>80</v>
      </c>
      <c r="BF519" s="1">
        <v>50</v>
      </c>
      <c r="BG519" s="1">
        <v>0.11</v>
      </c>
      <c r="BH519" s="1" t="s">
        <v>481</v>
      </c>
      <c r="BI519" s="1"/>
      <c r="BJ519" s="1">
        <v>23408.289473684214</v>
      </c>
      <c r="BK519" s="1"/>
    </row>
    <row r="520" spans="1:63" ht="30" thickBot="1" x14ac:dyDescent="0.25">
      <c r="A520" s="3">
        <v>520</v>
      </c>
      <c r="B520" s="3" t="s">
        <v>477</v>
      </c>
      <c r="C520" s="3" t="s">
        <v>543</v>
      </c>
      <c r="D520" s="1" t="s">
        <v>478</v>
      </c>
      <c r="E520" s="1"/>
      <c r="F520" s="1"/>
      <c r="G520" s="1" t="s">
        <v>102</v>
      </c>
      <c r="H520" s="1" t="s">
        <v>114</v>
      </c>
      <c r="I520" s="1"/>
      <c r="J520" s="113">
        <f>Table4[[#This Row],[total_cost_npr]]*(1/'Calculations &amp; Assumptions'!$C$6)</f>
        <v>711855.08083140873</v>
      </c>
      <c r="K520" s="113">
        <f>Table4[[#This Row],[system_cost_npr_per_kwp]]*(1/'Calculations &amp; Assumptions'!$C$6)</f>
        <v>4745.7005388760581</v>
      </c>
      <c r="L520" s="23">
        <f>IF(Table4[[#This Row],[total_cost_inr]]&gt;0, Table4[[#This Row],[total_cost_inr]]*'Calculations &amp; Assumptions'!$C$7,IF(Table4[[#This Row],[total_cost_eur]]&gt;0,Table4[[#This Row],[total_cost_eur]]*'Calculations &amp; Assumptions'!$C$5,0))</f>
        <v>92469975</v>
      </c>
      <c r="M520" s="77">
        <f>IF(H520="smartmeter_1ph",Table4[[#This Row],[total_cost_npr]],Table4[[#This Row],[total_cost_npr]]/Table4[[#This Row],[pv_kWp]])</f>
        <v>616466.5</v>
      </c>
      <c r="N520" s="1"/>
      <c r="O520" s="1">
        <f>Table4[[#This Row],[total_cost_inr]]/Table4[[#This Row],[pv_kWp]]</f>
        <v>0</v>
      </c>
      <c r="P520" s="1">
        <v>711307.5</v>
      </c>
      <c r="Q520" s="1"/>
      <c r="R520" s="1"/>
      <c r="S520" s="1"/>
      <c r="T520" s="1">
        <v>150</v>
      </c>
      <c r="U520" s="1"/>
      <c r="V520" s="1"/>
      <c r="W520" s="1"/>
      <c r="X520" s="1"/>
      <c r="Y520" s="1"/>
      <c r="Z520" s="1"/>
      <c r="AA520" s="1"/>
      <c r="AB520" s="1"/>
      <c r="AC520" s="1"/>
      <c r="AD520" s="1">
        <v>120</v>
      </c>
      <c r="AE520" s="1"/>
      <c r="AF520" s="1"/>
      <c r="AG520" s="1"/>
      <c r="AH520" s="6"/>
      <c r="AI520" s="1"/>
      <c r="AJ520" s="1"/>
      <c r="AK520" s="1"/>
      <c r="AL520" s="1"/>
      <c r="AM520" s="1"/>
      <c r="AN520" s="1"/>
      <c r="AO520" s="1"/>
      <c r="AP520" s="1"/>
      <c r="AQ520" s="1"/>
      <c r="AR520" s="1"/>
      <c r="AS520" s="1" t="s">
        <v>493</v>
      </c>
      <c r="AT520" s="1" t="s">
        <v>499</v>
      </c>
      <c r="AU520" s="1">
        <v>0.45</v>
      </c>
      <c r="AV520" s="1">
        <v>1865</v>
      </c>
      <c r="AW520" s="1">
        <v>460000</v>
      </c>
      <c r="AX520" s="1">
        <v>130550</v>
      </c>
      <c r="AY520" s="1">
        <v>444757.50000000006</v>
      </c>
      <c r="AZ520" s="1">
        <v>0.35</v>
      </c>
      <c r="BA520" s="1">
        <v>19</v>
      </c>
      <c r="BB520" s="1">
        <v>596000</v>
      </c>
      <c r="BC520" s="1">
        <v>711307.5</v>
      </c>
      <c r="BD520" s="1">
        <v>75477</v>
      </c>
      <c r="BE520" s="1">
        <v>150</v>
      </c>
      <c r="BF520" s="1">
        <v>120</v>
      </c>
      <c r="BG520" s="1">
        <v>0.11</v>
      </c>
      <c r="BH520" s="1" t="s">
        <v>481</v>
      </c>
      <c r="BI520" s="1"/>
      <c r="BJ520" s="1">
        <v>23408.289473684214</v>
      </c>
      <c r="BK520" s="1"/>
    </row>
    <row r="521" spans="1:63" ht="30" thickBot="1" x14ac:dyDescent="0.25">
      <c r="A521" s="3">
        <v>521</v>
      </c>
      <c r="B521" s="3" t="s">
        <v>477</v>
      </c>
      <c r="C521" s="3" t="s">
        <v>543</v>
      </c>
      <c r="D521" s="1" t="s">
        <v>478</v>
      </c>
      <c r="E521" s="1"/>
      <c r="F521" s="1"/>
      <c r="G521" s="1" t="s">
        <v>102</v>
      </c>
      <c r="H521" s="1" t="s">
        <v>114</v>
      </c>
      <c r="I521" s="1"/>
      <c r="J521" s="113">
        <f>Table4[[#This Row],[total_cost_npr]]*(1/'Calculations &amp; Assumptions'!$C$6)</f>
        <v>664818.89915319474</v>
      </c>
      <c r="K521" s="113">
        <f>Table4[[#This Row],[system_cost_npr_per_kwp]]*(1/'Calculations &amp; Assumptions'!$C$6)</f>
        <v>6648.1889915319471</v>
      </c>
      <c r="L521" s="23">
        <f>IF(Table4[[#This Row],[total_cost_inr]]&gt;0, Table4[[#This Row],[total_cost_inr]]*'Calculations &amp; Assumptions'!$C$7,IF(Table4[[#This Row],[total_cost_eur]]&gt;0,Table4[[#This Row],[total_cost_eur]]*'Calculations &amp; Assumptions'!$C$5,0))</f>
        <v>86359975</v>
      </c>
      <c r="M521" s="77">
        <f>IF(H521="smartmeter_1ph",Table4[[#This Row],[total_cost_npr]],Table4[[#This Row],[total_cost_npr]]/Table4[[#This Row],[pv_kWp]])</f>
        <v>863599.75</v>
      </c>
      <c r="N521" s="1"/>
      <c r="O521" s="1">
        <f>Table4[[#This Row],[total_cost_inr]]/Table4[[#This Row],[pv_kWp]]</f>
        <v>0</v>
      </c>
      <c r="P521" s="1">
        <v>664307.5</v>
      </c>
      <c r="Q521" s="1"/>
      <c r="R521" s="1"/>
      <c r="S521" s="1"/>
      <c r="T521" s="1">
        <v>100</v>
      </c>
      <c r="U521" s="1"/>
      <c r="V521" s="1"/>
      <c r="W521" s="1"/>
      <c r="X521" s="1"/>
      <c r="Y521" s="1"/>
      <c r="Z521" s="1"/>
      <c r="AA521" s="1"/>
      <c r="AB521" s="1"/>
      <c r="AC521" s="1"/>
      <c r="AD521" s="1">
        <v>70</v>
      </c>
      <c r="AE521" s="1"/>
      <c r="AF521" s="1"/>
      <c r="AG521" s="1"/>
      <c r="AH521" s="6"/>
      <c r="AI521" s="1"/>
      <c r="AJ521" s="1"/>
      <c r="AK521" s="1"/>
      <c r="AL521" s="1"/>
      <c r="AM521" s="1"/>
      <c r="AN521" s="1"/>
      <c r="AO521" s="1"/>
      <c r="AP521" s="1"/>
      <c r="AQ521" s="1"/>
      <c r="AR521" s="1"/>
      <c r="AS521" s="1" t="s">
        <v>493</v>
      </c>
      <c r="AT521" s="1" t="s">
        <v>499</v>
      </c>
      <c r="AU521" s="1">
        <v>0.35</v>
      </c>
      <c r="AV521" s="1">
        <v>1865</v>
      </c>
      <c r="AW521" s="1">
        <v>460000</v>
      </c>
      <c r="AX521" s="1">
        <v>130550</v>
      </c>
      <c r="AY521" s="1">
        <v>444757.50000000006</v>
      </c>
      <c r="AZ521" s="1">
        <v>0.35</v>
      </c>
      <c r="BA521" s="1">
        <v>19</v>
      </c>
      <c r="BB521" s="1">
        <v>549000</v>
      </c>
      <c r="BC521" s="1">
        <v>664307.5</v>
      </c>
      <c r="BD521" s="1">
        <v>88337</v>
      </c>
      <c r="BE521" s="1">
        <v>100</v>
      </c>
      <c r="BF521" s="1">
        <v>70</v>
      </c>
      <c r="BG521" s="1">
        <v>0.11</v>
      </c>
      <c r="BH521" s="1" t="s">
        <v>481</v>
      </c>
      <c r="BI521" s="1"/>
      <c r="BJ521" s="1">
        <v>23408.289473684214</v>
      </c>
      <c r="BK521" s="1"/>
    </row>
    <row r="522" spans="1:63" ht="30" thickBot="1" x14ac:dyDescent="0.25">
      <c r="A522" s="3">
        <v>522</v>
      </c>
      <c r="B522" s="3" t="s">
        <v>477</v>
      </c>
      <c r="C522" s="3" t="s">
        <v>543</v>
      </c>
      <c r="D522" s="1" t="s">
        <v>478</v>
      </c>
      <c r="E522" s="1"/>
      <c r="F522" s="1"/>
      <c r="G522" s="1" t="s">
        <v>102</v>
      </c>
      <c r="H522" s="1" t="s">
        <v>114</v>
      </c>
      <c r="I522" s="1"/>
      <c r="J522" s="113">
        <f>Table4[[#This Row],[total_cost_npr]]*(1/'Calculations &amp; Assumptions'!$C$6)</f>
        <v>743879.71516551182</v>
      </c>
      <c r="K522" s="113">
        <f>Table4[[#This Row],[system_cost_npr_per_kwp]]*(1/'Calculations &amp; Assumptions'!$C$6)</f>
        <v>4132.6650842528443</v>
      </c>
      <c r="L522" s="23">
        <f>IF(Table4[[#This Row],[total_cost_inr]]&gt;0, Table4[[#This Row],[total_cost_inr]]*'Calculations &amp; Assumptions'!$C$7,IF(Table4[[#This Row],[total_cost_eur]]&gt;0,Table4[[#This Row],[total_cost_eur]]*'Calculations &amp; Assumptions'!$C$5,0))</f>
        <v>96629975</v>
      </c>
      <c r="M522" s="77">
        <f>IF(H522="smartmeter_1ph",Table4[[#This Row],[total_cost_npr]],Table4[[#This Row],[total_cost_npr]]/Table4[[#This Row],[pv_kWp]])</f>
        <v>536833.1944444445</v>
      </c>
      <c r="N522" s="1"/>
      <c r="O522" s="1">
        <f>Table4[[#This Row],[total_cost_inr]]/Table4[[#This Row],[pv_kWp]]</f>
        <v>0</v>
      </c>
      <c r="P522" s="1">
        <v>743307.5</v>
      </c>
      <c r="Q522" s="1"/>
      <c r="R522" s="1"/>
      <c r="S522" s="1"/>
      <c r="T522" s="1">
        <v>180</v>
      </c>
      <c r="U522" s="1"/>
      <c r="V522" s="1"/>
      <c r="W522" s="1"/>
      <c r="X522" s="1"/>
      <c r="Y522" s="1"/>
      <c r="Z522" s="1"/>
      <c r="AA522" s="1"/>
      <c r="AB522" s="1"/>
      <c r="AC522" s="1"/>
      <c r="AD522" s="1">
        <v>160</v>
      </c>
      <c r="AE522" s="1"/>
      <c r="AF522" s="1"/>
      <c r="AG522" s="1"/>
      <c r="AH522" s="6"/>
      <c r="AI522" s="1"/>
      <c r="AJ522" s="1"/>
      <c r="AK522" s="1"/>
      <c r="AL522" s="1"/>
      <c r="AM522" s="1"/>
      <c r="AN522" s="1"/>
      <c r="AO522" s="1"/>
      <c r="AP522" s="1"/>
      <c r="AQ522" s="1"/>
      <c r="AR522" s="1"/>
      <c r="AS522" s="1" t="s">
        <v>493</v>
      </c>
      <c r="AT522" s="1" t="s">
        <v>499</v>
      </c>
      <c r="AU522" s="1">
        <v>0.5</v>
      </c>
      <c r="AV522" s="1">
        <v>1865</v>
      </c>
      <c r="AW522" s="1">
        <v>460000</v>
      </c>
      <c r="AX522" s="1">
        <v>130550</v>
      </c>
      <c r="AY522" s="1">
        <v>444757.50000000006</v>
      </c>
      <c r="AZ522" s="1">
        <v>0.35</v>
      </c>
      <c r="BA522" s="1">
        <v>19</v>
      </c>
      <c r="BB522" s="1">
        <v>628000</v>
      </c>
      <c r="BC522" s="1">
        <v>743307.5</v>
      </c>
      <c r="BD522" s="1">
        <v>66252</v>
      </c>
      <c r="BE522" s="1">
        <v>180</v>
      </c>
      <c r="BF522" s="1">
        <v>160</v>
      </c>
      <c r="BG522" s="1">
        <v>0.11</v>
      </c>
      <c r="BH522" s="1" t="s">
        <v>481</v>
      </c>
      <c r="BI522" s="1"/>
      <c r="BJ522" s="1">
        <v>23408.289473684214</v>
      </c>
      <c r="BK522" s="1"/>
    </row>
    <row r="523" spans="1:63" ht="30" thickBot="1" x14ac:dyDescent="0.25">
      <c r="A523" s="3">
        <v>523</v>
      </c>
      <c r="B523" s="3" t="s">
        <v>477</v>
      </c>
      <c r="C523" s="3" t="s">
        <v>543</v>
      </c>
      <c r="D523" s="1" t="s">
        <v>478</v>
      </c>
      <c r="E523" s="1"/>
      <c r="F523" s="1"/>
      <c r="G523" s="1" t="s">
        <v>102</v>
      </c>
      <c r="H523" s="1" t="s">
        <v>114</v>
      </c>
      <c r="I523" s="1"/>
      <c r="J523" s="113">
        <f>Table4[[#This Row],[total_cost_npr]]*(1/'Calculations &amp; Assumptions'!$C$6)</f>
        <v>769899.73056197073</v>
      </c>
      <c r="K523" s="113">
        <f>Table4[[#This Row],[system_cost_npr_per_kwp]]*(1/'Calculations &amp; Assumptions'!$C$6)</f>
        <v>3499.5442298271396</v>
      </c>
      <c r="L523" s="23">
        <f>IF(Table4[[#This Row],[total_cost_inr]]&gt;0, Table4[[#This Row],[total_cost_inr]]*'Calculations &amp; Assumptions'!$C$7,IF(Table4[[#This Row],[total_cost_eur]]&gt;0,Table4[[#This Row],[total_cost_eur]]*'Calculations &amp; Assumptions'!$C$5,0))</f>
        <v>100009975</v>
      </c>
      <c r="M523" s="77">
        <f>IF(H523="smartmeter_1ph",Table4[[#This Row],[total_cost_npr]],Table4[[#This Row],[total_cost_npr]]/Table4[[#This Row],[pv_kWp]])</f>
        <v>454590.79545454547</v>
      </c>
      <c r="N523" s="1"/>
      <c r="O523" s="1">
        <f>Table4[[#This Row],[total_cost_inr]]/Table4[[#This Row],[pv_kWp]]</f>
        <v>0</v>
      </c>
      <c r="P523" s="1">
        <v>769307.5</v>
      </c>
      <c r="Q523" s="1"/>
      <c r="R523" s="1"/>
      <c r="S523" s="1"/>
      <c r="T523" s="1">
        <v>220</v>
      </c>
      <c r="U523" s="1"/>
      <c r="V523" s="1"/>
      <c r="W523" s="1"/>
      <c r="X523" s="1"/>
      <c r="Y523" s="1"/>
      <c r="Z523" s="1"/>
      <c r="AA523" s="1"/>
      <c r="AB523" s="1"/>
      <c r="AC523" s="1"/>
      <c r="AD523" s="1">
        <v>180</v>
      </c>
      <c r="AE523" s="1"/>
      <c r="AF523" s="1"/>
      <c r="AG523" s="1"/>
      <c r="AH523" s="6"/>
      <c r="AI523" s="1"/>
      <c r="AJ523" s="1"/>
      <c r="AK523" s="1"/>
      <c r="AL523" s="1"/>
      <c r="AM523" s="1"/>
      <c r="AN523" s="1"/>
      <c r="AO523" s="1"/>
      <c r="AP523" s="1"/>
      <c r="AQ523" s="1"/>
      <c r="AR523" s="1"/>
      <c r="AS523" s="1" t="s">
        <v>493</v>
      </c>
      <c r="AT523" s="1" t="s">
        <v>499</v>
      </c>
      <c r="AU523" s="1">
        <v>0.55000000000000004</v>
      </c>
      <c r="AV523" s="1">
        <v>1865</v>
      </c>
      <c r="AW523" s="1">
        <v>460000</v>
      </c>
      <c r="AX523" s="1">
        <v>130550</v>
      </c>
      <c r="AY523" s="1">
        <v>444757.50000000006</v>
      </c>
      <c r="AZ523" s="1">
        <v>0.35</v>
      </c>
      <c r="BA523" s="1">
        <v>19</v>
      </c>
      <c r="BB523" s="1">
        <v>654000</v>
      </c>
      <c r="BC523" s="1">
        <v>769307.5</v>
      </c>
      <c r="BD523" s="1">
        <v>59560</v>
      </c>
      <c r="BE523" s="1">
        <v>220</v>
      </c>
      <c r="BF523" s="1">
        <v>180</v>
      </c>
      <c r="BG523" s="1">
        <v>0.11</v>
      </c>
      <c r="BH523" s="1" t="s">
        <v>481</v>
      </c>
      <c r="BI523" s="1"/>
      <c r="BJ523" s="1">
        <v>23408.289473684214</v>
      </c>
      <c r="BK523" s="1"/>
    </row>
    <row r="524" spans="1:63" ht="30" thickBot="1" x14ac:dyDescent="0.25">
      <c r="A524" s="3">
        <v>524</v>
      </c>
      <c r="B524" s="3" t="s">
        <v>477</v>
      </c>
      <c r="C524" s="3" t="s">
        <v>543</v>
      </c>
      <c r="D524" s="1" t="s">
        <v>478</v>
      </c>
      <c r="E524" s="1"/>
      <c r="F524" s="1"/>
      <c r="G524" s="1" t="s">
        <v>102</v>
      </c>
      <c r="H524" s="1" t="s">
        <v>114</v>
      </c>
      <c r="I524" s="1"/>
      <c r="J524" s="113">
        <f>Table4[[#This Row],[total_cost_npr]]*(1/'Calculations &amp; Assumptions'!$C$6)</f>
        <v>798922.05542725162</v>
      </c>
      <c r="K524" s="113">
        <f>Table4[[#This Row],[system_cost_npr_per_kwp]]*(1/'Calculations &amp; Assumptions'!$C$6)</f>
        <v>3072.7771362586604</v>
      </c>
      <c r="L524" s="23">
        <f>IF(Table4[[#This Row],[total_cost_inr]]&gt;0, Table4[[#This Row],[total_cost_inr]]*'Calculations &amp; Assumptions'!$C$7,IF(Table4[[#This Row],[total_cost_eur]]&gt;0,Table4[[#This Row],[total_cost_eur]]*'Calculations &amp; Assumptions'!$C$5,0))</f>
        <v>103779975</v>
      </c>
      <c r="M524" s="77">
        <f>IF(H524="smartmeter_1ph",Table4[[#This Row],[total_cost_npr]],Table4[[#This Row],[total_cost_npr]]/Table4[[#This Row],[pv_kWp]])</f>
        <v>399153.75</v>
      </c>
      <c r="N524" s="1"/>
      <c r="O524" s="1">
        <f>Table4[[#This Row],[total_cost_inr]]/Table4[[#This Row],[pv_kWp]]</f>
        <v>0</v>
      </c>
      <c r="P524" s="1">
        <v>798307.5</v>
      </c>
      <c r="Q524" s="1"/>
      <c r="R524" s="1"/>
      <c r="S524" s="1"/>
      <c r="T524" s="1">
        <v>260</v>
      </c>
      <c r="U524" s="1"/>
      <c r="V524" s="1"/>
      <c r="W524" s="1"/>
      <c r="X524" s="1"/>
      <c r="Y524" s="1"/>
      <c r="Z524" s="1"/>
      <c r="AA524" s="1"/>
      <c r="AB524" s="1"/>
      <c r="AC524" s="1"/>
      <c r="AD524" s="1">
        <v>205</v>
      </c>
      <c r="AE524" s="1"/>
      <c r="AF524" s="1"/>
      <c r="AG524" s="1"/>
      <c r="AH524" s="6"/>
      <c r="AI524" s="1"/>
      <c r="AJ524" s="1"/>
      <c r="AK524" s="1"/>
      <c r="AL524" s="1"/>
      <c r="AM524" s="1"/>
      <c r="AN524" s="1"/>
      <c r="AO524" s="1"/>
      <c r="AP524" s="1"/>
      <c r="AQ524" s="1"/>
      <c r="AR524" s="1"/>
      <c r="AS524" s="1" t="s">
        <v>493</v>
      </c>
      <c r="AT524" s="1" t="s">
        <v>499</v>
      </c>
      <c r="AU524" s="1">
        <v>0.6</v>
      </c>
      <c r="AV524" s="1">
        <v>1865</v>
      </c>
      <c r="AW524" s="1">
        <v>460000</v>
      </c>
      <c r="AX524" s="1">
        <v>130550</v>
      </c>
      <c r="AY524" s="1">
        <v>444757.50000000006</v>
      </c>
      <c r="AZ524" s="1">
        <v>0.35</v>
      </c>
      <c r="BA524" s="1">
        <v>19</v>
      </c>
      <c r="BB524" s="1">
        <v>683000</v>
      </c>
      <c r="BC524" s="1">
        <v>798307.5</v>
      </c>
      <c r="BD524" s="1">
        <v>54314</v>
      </c>
      <c r="BE524" s="1">
        <v>260</v>
      </c>
      <c r="BF524" s="1">
        <v>205</v>
      </c>
      <c r="BG524" s="1">
        <v>0.11</v>
      </c>
      <c r="BH524" s="1" t="s">
        <v>481</v>
      </c>
      <c r="BI524" s="1"/>
      <c r="BJ524" s="1">
        <v>23408.289473684214</v>
      </c>
      <c r="BK524" s="1"/>
    </row>
    <row r="525" spans="1:63" ht="30" thickBot="1" x14ac:dyDescent="0.25">
      <c r="A525" s="3">
        <v>525</v>
      </c>
      <c r="B525" s="3" t="s">
        <v>477</v>
      </c>
      <c r="C525" s="3" t="s">
        <v>543</v>
      </c>
      <c r="D525" s="1" t="s">
        <v>478</v>
      </c>
      <c r="E525" s="1"/>
      <c r="F525" s="1"/>
      <c r="G525" s="1" t="s">
        <v>102</v>
      </c>
      <c r="H525" s="1" t="s">
        <v>114</v>
      </c>
      <c r="I525" s="1"/>
      <c r="J525" s="113">
        <f>Table4[[#This Row],[total_cost_npr]]*(1/'Calculations &amp; Assumptions'!$C$6)</f>
        <v>834949.76905311772</v>
      </c>
      <c r="K525" s="113">
        <f>Table4[[#This Row],[system_cost_npr_per_kwp]]*(1/'Calculations &amp; Assumptions'!$C$6)</f>
        <v>2755.6097988551742</v>
      </c>
      <c r="L525" s="23">
        <f>IF(Table4[[#This Row],[total_cost_inr]]&gt;0, Table4[[#This Row],[total_cost_inr]]*'Calculations &amp; Assumptions'!$C$7,IF(Table4[[#This Row],[total_cost_eur]]&gt;0,Table4[[#This Row],[total_cost_eur]]*'Calculations &amp; Assumptions'!$C$5,0))</f>
        <v>108459975</v>
      </c>
      <c r="M525" s="77">
        <f>IF(H525="smartmeter_1ph",Table4[[#This Row],[total_cost_npr]],Table4[[#This Row],[total_cost_npr]]/Table4[[#This Row],[pv_kWp]])</f>
        <v>357953.71287128713</v>
      </c>
      <c r="N525" s="1"/>
      <c r="O525" s="1">
        <f>Table4[[#This Row],[total_cost_inr]]/Table4[[#This Row],[pv_kWp]]</f>
        <v>0</v>
      </c>
      <c r="P525" s="1">
        <v>834307.5</v>
      </c>
      <c r="Q525" s="1"/>
      <c r="R525" s="1"/>
      <c r="S525" s="1"/>
      <c r="T525" s="1">
        <v>303</v>
      </c>
      <c r="U525" s="1"/>
      <c r="V525" s="1"/>
      <c r="W525" s="1"/>
      <c r="X525" s="1"/>
      <c r="Y525" s="1"/>
      <c r="Z525" s="1"/>
      <c r="AA525" s="1"/>
      <c r="AB525" s="1"/>
      <c r="AC525" s="1"/>
      <c r="AD525" s="1">
        <v>253</v>
      </c>
      <c r="AE525" s="1"/>
      <c r="AF525" s="1"/>
      <c r="AG525" s="1"/>
      <c r="AH525" s="6"/>
      <c r="AI525" s="1"/>
      <c r="AJ525" s="1"/>
      <c r="AK525" s="1"/>
      <c r="AL525" s="1"/>
      <c r="AM525" s="1"/>
      <c r="AN525" s="1"/>
      <c r="AO525" s="1"/>
      <c r="AP525" s="1"/>
      <c r="AQ525" s="1"/>
      <c r="AR525" s="1"/>
      <c r="AS525" s="1" t="s">
        <v>493</v>
      </c>
      <c r="AT525" s="1" t="s">
        <v>499</v>
      </c>
      <c r="AU525" s="1">
        <v>0.65</v>
      </c>
      <c r="AV525" s="1">
        <v>1865</v>
      </c>
      <c r="AW525" s="1">
        <v>460000</v>
      </c>
      <c r="AX525" s="1">
        <v>130550</v>
      </c>
      <c r="AY525" s="1">
        <v>444757.50000000006</v>
      </c>
      <c r="AZ525" s="1">
        <v>0.35</v>
      </c>
      <c r="BA525" s="1">
        <v>19</v>
      </c>
      <c r="BB525" s="1">
        <v>719000</v>
      </c>
      <c r="BC525" s="1">
        <v>834307.5</v>
      </c>
      <c r="BD525" s="1">
        <v>48893</v>
      </c>
      <c r="BE525" s="1">
        <v>303</v>
      </c>
      <c r="BF525" s="1">
        <v>253</v>
      </c>
      <c r="BG525" s="1">
        <v>0.11</v>
      </c>
      <c r="BH525" s="1" t="s">
        <v>481</v>
      </c>
      <c r="BI525" s="1"/>
      <c r="BJ525" s="1">
        <v>23408.289473684214</v>
      </c>
      <c r="BK525" s="1"/>
    </row>
    <row r="526" spans="1:63" ht="30" thickBot="1" x14ac:dyDescent="0.25">
      <c r="A526" s="3">
        <v>526</v>
      </c>
      <c r="B526" s="3" t="s">
        <v>477</v>
      </c>
      <c r="C526" s="3" t="s">
        <v>543</v>
      </c>
      <c r="D526" s="1" t="s">
        <v>478</v>
      </c>
      <c r="E526" s="1"/>
      <c r="F526" s="1"/>
      <c r="G526" s="1" t="s">
        <v>102</v>
      </c>
      <c r="H526" s="1" t="s">
        <v>114</v>
      </c>
      <c r="I526" s="1"/>
      <c r="J526" s="113">
        <f>Table4[[#This Row],[total_cost_npr]]*(1/'Calculations &amp; Assumptions'!$C$6)</f>
        <v>874980.56197074661</v>
      </c>
      <c r="K526" s="113">
        <f>Table4[[#This Row],[system_cost_npr_per_kwp]]*(1/'Calculations &amp; Assumptions'!$C$6)</f>
        <v>2926.3563945509918</v>
      </c>
      <c r="L526" s="23">
        <f>IF(Table4[[#This Row],[total_cost_inr]]&gt;0, Table4[[#This Row],[total_cost_inr]]*'Calculations &amp; Assumptions'!$C$7,IF(Table4[[#This Row],[total_cost_eur]]&gt;0,Table4[[#This Row],[total_cost_eur]]*'Calculations &amp; Assumptions'!$C$5,0))</f>
        <v>113659975</v>
      </c>
      <c r="M526" s="77">
        <f>IF(H526="smartmeter_1ph",Table4[[#This Row],[total_cost_npr]],Table4[[#This Row],[total_cost_npr]]/Table4[[#This Row],[pv_kWp]])</f>
        <v>380133.69565217389</v>
      </c>
      <c r="N526" s="1"/>
      <c r="O526" s="1">
        <f>Table4[[#This Row],[total_cost_inr]]/Table4[[#This Row],[pv_kWp]]</f>
        <v>0</v>
      </c>
      <c r="P526" s="1">
        <v>874307.5</v>
      </c>
      <c r="Q526" s="1"/>
      <c r="R526" s="1"/>
      <c r="S526" s="1"/>
      <c r="T526" s="1">
        <v>299</v>
      </c>
      <c r="U526" s="1"/>
      <c r="V526" s="1"/>
      <c r="W526" s="1"/>
      <c r="X526" s="1"/>
      <c r="Y526" s="1"/>
      <c r="Z526" s="1"/>
      <c r="AA526" s="1"/>
      <c r="AB526" s="1"/>
      <c r="AC526" s="1"/>
      <c r="AD526" s="1">
        <v>355</v>
      </c>
      <c r="AE526" s="1"/>
      <c r="AF526" s="1"/>
      <c r="AG526" s="1"/>
      <c r="AH526" s="6"/>
      <c r="AI526" s="1"/>
      <c r="AJ526" s="1"/>
      <c r="AK526" s="1"/>
      <c r="AL526" s="1"/>
      <c r="AM526" s="1"/>
      <c r="AN526" s="1"/>
      <c r="AO526" s="1"/>
      <c r="AP526" s="1"/>
      <c r="AQ526" s="1"/>
      <c r="AR526" s="1"/>
      <c r="AS526" s="1" t="s">
        <v>493</v>
      </c>
      <c r="AT526" s="1" t="s">
        <v>499</v>
      </c>
      <c r="AU526" s="1">
        <v>0.7</v>
      </c>
      <c r="AV526" s="1">
        <v>1865</v>
      </c>
      <c r="AW526" s="1">
        <v>460000</v>
      </c>
      <c r="AX526" s="1">
        <v>130550</v>
      </c>
      <c r="AY526" s="1">
        <v>444757.50000000006</v>
      </c>
      <c r="AZ526" s="1">
        <v>0.35</v>
      </c>
      <c r="BA526" s="1">
        <v>19</v>
      </c>
      <c r="BB526" s="1">
        <v>759000</v>
      </c>
      <c r="BC526" s="1">
        <v>874307.5</v>
      </c>
      <c r="BD526" s="1">
        <v>41529</v>
      </c>
      <c r="BE526" s="1">
        <v>299</v>
      </c>
      <c r="BF526" s="1">
        <v>355</v>
      </c>
      <c r="BG526" s="1">
        <v>0.11</v>
      </c>
      <c r="BH526" s="1" t="s">
        <v>481</v>
      </c>
      <c r="BI526" s="1"/>
      <c r="BJ526" s="1">
        <v>23408.289473684214</v>
      </c>
      <c r="BK526" s="1"/>
    </row>
    <row r="527" spans="1:63" ht="30" thickBot="1" x14ac:dyDescent="0.25">
      <c r="A527" s="3">
        <v>527</v>
      </c>
      <c r="B527" s="3" t="s">
        <v>477</v>
      </c>
      <c r="C527" s="3" t="s">
        <v>543</v>
      </c>
      <c r="D527" s="1" t="s">
        <v>478</v>
      </c>
      <c r="E527" s="1"/>
      <c r="F527" s="1"/>
      <c r="G527" s="1" t="s">
        <v>102</v>
      </c>
      <c r="H527" s="1" t="s">
        <v>114</v>
      </c>
      <c r="I527" s="1"/>
      <c r="J527" s="113">
        <f>Table4[[#This Row],[total_cost_npr]]*(1/'Calculations &amp; Assumptions'!$C$6)</f>
        <v>913009.81524249411</v>
      </c>
      <c r="K527" s="113">
        <f>Table4[[#This Row],[system_cost_npr_per_kwp]]*(1/'Calculations &amp; Assumptions'!$C$6)</f>
        <v>2826.655774744564</v>
      </c>
      <c r="L527" s="23">
        <f>IF(Table4[[#This Row],[total_cost_inr]]&gt;0, Table4[[#This Row],[total_cost_inr]]*'Calculations &amp; Assumptions'!$C$7,IF(Table4[[#This Row],[total_cost_eur]]&gt;0,Table4[[#This Row],[total_cost_eur]]*'Calculations &amp; Assumptions'!$C$5,0))</f>
        <v>118599975</v>
      </c>
      <c r="M527" s="77">
        <f>IF(H527="smartmeter_1ph",Table4[[#This Row],[total_cost_npr]],Table4[[#This Row],[total_cost_npr]]/Table4[[#This Row],[pv_kWp]])</f>
        <v>367182.58513931889</v>
      </c>
      <c r="N527" s="1"/>
      <c r="O527" s="1">
        <f>Table4[[#This Row],[total_cost_inr]]/Table4[[#This Row],[pv_kWp]]</f>
        <v>0</v>
      </c>
      <c r="P527" s="1">
        <v>912307.5</v>
      </c>
      <c r="Q527" s="1"/>
      <c r="R527" s="1"/>
      <c r="S527" s="1"/>
      <c r="T527" s="1">
        <v>323</v>
      </c>
      <c r="U527" s="1"/>
      <c r="V527" s="1"/>
      <c r="W527" s="1"/>
      <c r="X527" s="1"/>
      <c r="Y527" s="1"/>
      <c r="Z527" s="1"/>
      <c r="AA527" s="1"/>
      <c r="AB527" s="1"/>
      <c r="AC527" s="1"/>
      <c r="AD527" s="1">
        <v>426</v>
      </c>
      <c r="AE527" s="1"/>
      <c r="AF527" s="1"/>
      <c r="AG527" s="1"/>
      <c r="AH527" s="6"/>
      <c r="AI527" s="1"/>
      <c r="AJ527" s="1"/>
      <c r="AK527" s="1"/>
      <c r="AL527" s="1"/>
      <c r="AM527" s="1"/>
      <c r="AN527" s="1"/>
      <c r="AO527" s="1"/>
      <c r="AP527" s="1"/>
      <c r="AQ527" s="1"/>
      <c r="AR527" s="1"/>
      <c r="AS527" s="1" t="s">
        <v>493</v>
      </c>
      <c r="AT527" s="1" t="s">
        <v>499</v>
      </c>
      <c r="AU527" s="1">
        <v>0.75</v>
      </c>
      <c r="AV527" s="1">
        <v>1865</v>
      </c>
      <c r="AW527" s="1">
        <v>460000</v>
      </c>
      <c r="AX527" s="1">
        <v>130550</v>
      </c>
      <c r="AY527" s="1">
        <v>444757.50000000006</v>
      </c>
      <c r="AZ527" s="1">
        <v>0.35</v>
      </c>
      <c r="BA527" s="1">
        <v>19</v>
      </c>
      <c r="BB527" s="1">
        <v>797000</v>
      </c>
      <c r="BC527" s="1">
        <v>912307.5</v>
      </c>
      <c r="BD527" s="1">
        <v>35575</v>
      </c>
      <c r="BE527" s="1">
        <v>323</v>
      </c>
      <c r="BF527" s="1">
        <v>426</v>
      </c>
      <c r="BG527" s="1">
        <v>0.11</v>
      </c>
      <c r="BH527" s="1" t="s">
        <v>481</v>
      </c>
      <c r="BI527" s="1"/>
      <c r="BJ527" s="1">
        <v>23408.289473684214</v>
      </c>
      <c r="BK527" s="1"/>
    </row>
    <row r="528" spans="1:63" ht="30" thickBot="1" x14ac:dyDescent="0.25">
      <c r="A528" s="3">
        <v>528</v>
      </c>
      <c r="B528" s="3" t="s">
        <v>477</v>
      </c>
      <c r="C528" s="3" t="s">
        <v>543</v>
      </c>
      <c r="D528" s="1" t="s">
        <v>478</v>
      </c>
      <c r="E528" s="1"/>
      <c r="F528" s="1"/>
      <c r="G528" s="1" t="s">
        <v>102</v>
      </c>
      <c r="H528" s="1" t="s">
        <v>114</v>
      </c>
      <c r="I528" s="1"/>
      <c r="J528" s="113">
        <f>Table4[[#This Row],[total_cost_npr]]*(1/'Calculations &amp; Assumptions'!$C$6)</f>
        <v>954041.37798306381</v>
      </c>
      <c r="K528" s="113">
        <f>Table4[[#This Row],[system_cost_npr_per_kwp]]*(1/'Calculations &amp; Assumptions'!$C$6)</f>
        <v>2741.498212595011</v>
      </c>
      <c r="L528" s="23">
        <f>IF(Table4[[#This Row],[total_cost_inr]]&gt;0, Table4[[#This Row],[total_cost_inr]]*'Calculations &amp; Assumptions'!$C$7,IF(Table4[[#This Row],[total_cost_eur]]&gt;0,Table4[[#This Row],[total_cost_eur]]*'Calculations &amp; Assumptions'!$C$5,0))</f>
        <v>123929975</v>
      </c>
      <c r="M528" s="77">
        <f>IF(H528="smartmeter_1ph",Table4[[#This Row],[total_cost_npr]],Table4[[#This Row],[total_cost_npr]]/Table4[[#This Row],[pv_kWp]])</f>
        <v>356120.61781609198</v>
      </c>
      <c r="N528" s="1"/>
      <c r="O528" s="1">
        <f>Table4[[#This Row],[total_cost_inr]]/Table4[[#This Row],[pv_kWp]]</f>
        <v>0</v>
      </c>
      <c r="P528" s="1">
        <v>953307.5</v>
      </c>
      <c r="Q528" s="1"/>
      <c r="R528" s="1"/>
      <c r="S528" s="1"/>
      <c r="T528" s="1">
        <v>348</v>
      </c>
      <c r="U528" s="1"/>
      <c r="V528" s="1"/>
      <c r="W528" s="1"/>
      <c r="X528" s="1"/>
      <c r="Y528" s="1"/>
      <c r="Z528" s="1"/>
      <c r="AA528" s="1"/>
      <c r="AB528" s="1"/>
      <c r="AC528" s="1"/>
      <c r="AD528" s="1">
        <v>523</v>
      </c>
      <c r="AE528" s="1"/>
      <c r="AF528" s="1"/>
      <c r="AG528" s="1"/>
      <c r="AH528" s="6"/>
      <c r="AI528" s="1"/>
      <c r="AJ528" s="1"/>
      <c r="AK528" s="1"/>
      <c r="AL528" s="1"/>
      <c r="AM528" s="1"/>
      <c r="AN528" s="1"/>
      <c r="AO528" s="1"/>
      <c r="AP528" s="1"/>
      <c r="AQ528" s="1"/>
      <c r="AR528" s="1"/>
      <c r="AS528" s="1" t="s">
        <v>493</v>
      </c>
      <c r="AT528" s="1" t="s">
        <v>499</v>
      </c>
      <c r="AU528" s="1">
        <v>0.8</v>
      </c>
      <c r="AV528" s="1">
        <v>1865</v>
      </c>
      <c r="AW528" s="1">
        <v>460000</v>
      </c>
      <c r="AX528" s="1">
        <v>130550</v>
      </c>
      <c r="AY528" s="1">
        <v>444757.50000000006</v>
      </c>
      <c r="AZ528" s="1">
        <v>0.35</v>
      </c>
      <c r="BA528" s="1">
        <v>19</v>
      </c>
      <c r="BB528" s="1">
        <v>838000</v>
      </c>
      <c r="BC528" s="1">
        <v>953307.5</v>
      </c>
      <c r="BD528" s="1">
        <v>28234</v>
      </c>
      <c r="BE528" s="1">
        <v>348</v>
      </c>
      <c r="BF528" s="1">
        <v>523</v>
      </c>
      <c r="BG528" s="1">
        <v>0.11</v>
      </c>
      <c r="BH528" s="1" t="s">
        <v>481</v>
      </c>
      <c r="BI528" s="1"/>
      <c r="BJ528" s="1">
        <v>23408.289473684214</v>
      </c>
      <c r="BK528" s="1"/>
    </row>
    <row r="529" spans="1:63" ht="30" thickBot="1" x14ac:dyDescent="0.25">
      <c r="A529" s="3">
        <v>529</v>
      </c>
      <c r="B529" s="3" t="s">
        <v>477</v>
      </c>
      <c r="C529" s="3" t="s">
        <v>543</v>
      </c>
      <c r="D529" s="1" t="s">
        <v>478</v>
      </c>
      <c r="E529" s="1"/>
      <c r="F529" s="1"/>
      <c r="G529" s="1" t="s">
        <v>102</v>
      </c>
      <c r="H529" s="1" t="s">
        <v>114</v>
      </c>
      <c r="I529" s="1"/>
      <c r="J529" s="113">
        <f>Table4[[#This Row],[total_cost_npr]]*(1/'Calculations &amp; Assumptions'!$C$6)</f>
        <v>1000076.7898383371</v>
      </c>
      <c r="K529" s="113">
        <f>Table4[[#This Row],[system_cost_npr_per_kwp]]*(1/'Calculations &amp; Assumptions'!$C$6)</f>
        <v>2793.5105861406064</v>
      </c>
      <c r="L529" s="23">
        <f>IF(Table4[[#This Row],[total_cost_inr]]&gt;0, Table4[[#This Row],[total_cost_inr]]*'Calculations &amp; Assumptions'!$C$7,IF(Table4[[#This Row],[total_cost_eur]]&gt;0,Table4[[#This Row],[total_cost_eur]]*'Calculations &amp; Assumptions'!$C$5,0))</f>
        <v>129909975</v>
      </c>
      <c r="M529" s="77">
        <f>IF(H529="smartmeter_1ph",Table4[[#This Row],[total_cost_npr]],Table4[[#This Row],[total_cost_npr]]/Table4[[#This Row],[pv_kWp]])</f>
        <v>362877.02513966482</v>
      </c>
      <c r="N529" s="1"/>
      <c r="O529" s="1">
        <f>Table4[[#This Row],[total_cost_inr]]/Table4[[#This Row],[pv_kWp]]</f>
        <v>0</v>
      </c>
      <c r="P529" s="1">
        <v>999307.5</v>
      </c>
      <c r="Q529" s="1"/>
      <c r="R529" s="1"/>
      <c r="S529" s="1"/>
      <c r="T529" s="1">
        <v>358</v>
      </c>
      <c r="U529" s="1"/>
      <c r="V529" s="1"/>
      <c r="W529" s="1"/>
      <c r="X529" s="1"/>
      <c r="Y529" s="1"/>
      <c r="Z529" s="1"/>
      <c r="AA529" s="1"/>
      <c r="AB529" s="1"/>
      <c r="AC529" s="1"/>
      <c r="AD529" s="1">
        <v>601</v>
      </c>
      <c r="AE529" s="1"/>
      <c r="AF529" s="1"/>
      <c r="AG529" s="1"/>
      <c r="AH529" s="6"/>
      <c r="AI529" s="1"/>
      <c r="AJ529" s="1"/>
      <c r="AK529" s="1"/>
      <c r="AL529" s="1"/>
      <c r="AM529" s="1"/>
      <c r="AN529" s="1"/>
      <c r="AO529" s="1"/>
      <c r="AP529" s="1"/>
      <c r="AQ529" s="1"/>
      <c r="AR529" s="1"/>
      <c r="AS529" s="1" t="s">
        <v>493</v>
      </c>
      <c r="AT529" s="1" t="s">
        <v>499</v>
      </c>
      <c r="AU529" s="1">
        <v>0.85</v>
      </c>
      <c r="AV529" s="1">
        <v>1865</v>
      </c>
      <c r="AW529" s="1">
        <v>460000</v>
      </c>
      <c r="AX529" s="1">
        <v>130550</v>
      </c>
      <c r="AY529" s="1">
        <v>444757.50000000006</v>
      </c>
      <c r="AZ529" s="1">
        <v>0.35</v>
      </c>
      <c r="BA529" s="1">
        <v>19</v>
      </c>
      <c r="BB529" s="1">
        <v>884000</v>
      </c>
      <c r="BC529" s="1">
        <v>999307.5</v>
      </c>
      <c r="BD529" s="1">
        <v>21432</v>
      </c>
      <c r="BE529" s="1">
        <v>358</v>
      </c>
      <c r="BF529" s="1">
        <v>601</v>
      </c>
      <c r="BG529" s="1">
        <v>0.11</v>
      </c>
      <c r="BH529" s="1" t="s">
        <v>481</v>
      </c>
      <c r="BI529" s="1"/>
      <c r="BJ529" s="1">
        <v>23408.289473684214</v>
      </c>
      <c r="BK529" s="1"/>
    </row>
    <row r="530" spans="1:63" ht="30" thickBot="1" x14ac:dyDescent="0.25">
      <c r="A530" s="3">
        <v>530</v>
      </c>
      <c r="B530" s="3" t="s">
        <v>477</v>
      </c>
      <c r="C530" s="3" t="s">
        <v>543</v>
      </c>
      <c r="D530" s="1" t="s">
        <v>478</v>
      </c>
      <c r="E530" s="1"/>
      <c r="F530" s="1"/>
      <c r="G530" s="1" t="s">
        <v>102</v>
      </c>
      <c r="H530" s="1" t="s">
        <v>114</v>
      </c>
      <c r="I530" s="1"/>
      <c r="J530" s="113">
        <f>Table4[[#This Row],[total_cost_npr]]*(1/'Calculations &amp; Assumptions'!$C$6)</f>
        <v>1036104.5034642031</v>
      </c>
      <c r="K530" s="113">
        <f>Table4[[#This Row],[system_cost_npr_per_kwp]]*(1/'Calculations &amp; Assumptions'!$C$6)</f>
        <v>2449.4196299390146</v>
      </c>
      <c r="L530" s="23">
        <f>IF(Table4[[#This Row],[total_cost_inr]]&gt;0, Table4[[#This Row],[total_cost_inr]]*'Calculations &amp; Assumptions'!$C$7,IF(Table4[[#This Row],[total_cost_eur]]&gt;0,Table4[[#This Row],[total_cost_eur]]*'Calculations &amp; Assumptions'!$C$5,0))</f>
        <v>134589975</v>
      </c>
      <c r="M530" s="77">
        <f>IF(H530="smartmeter_1ph",Table4[[#This Row],[total_cost_npr]],Table4[[#This Row],[total_cost_npr]]/Table4[[#This Row],[pv_kWp]])</f>
        <v>318179.60992907803</v>
      </c>
      <c r="N530" s="1"/>
      <c r="O530" s="1">
        <f>Table4[[#This Row],[total_cost_inr]]/Table4[[#This Row],[pv_kWp]]</f>
        <v>0</v>
      </c>
      <c r="P530" s="1">
        <v>1035307.5</v>
      </c>
      <c r="Q530" s="1"/>
      <c r="R530" s="1"/>
      <c r="S530" s="1"/>
      <c r="T530" s="1">
        <v>423</v>
      </c>
      <c r="U530" s="1"/>
      <c r="V530" s="1"/>
      <c r="W530" s="1"/>
      <c r="X530" s="1"/>
      <c r="Y530" s="1"/>
      <c r="Z530" s="1"/>
      <c r="AA530" s="1"/>
      <c r="AB530" s="1"/>
      <c r="AC530" s="1"/>
      <c r="AD530" s="1">
        <v>682</v>
      </c>
      <c r="AE530" s="1"/>
      <c r="AF530" s="1"/>
      <c r="AG530" s="1"/>
      <c r="AH530" s="6"/>
      <c r="AI530" s="1"/>
      <c r="AJ530" s="1"/>
      <c r="AK530" s="1"/>
      <c r="AL530" s="1"/>
      <c r="AM530" s="1"/>
      <c r="AN530" s="1"/>
      <c r="AO530" s="1"/>
      <c r="AP530" s="1"/>
      <c r="AQ530" s="1"/>
      <c r="AR530" s="1"/>
      <c r="AS530" s="1" t="s">
        <v>493</v>
      </c>
      <c r="AT530" s="1" t="s">
        <v>499</v>
      </c>
      <c r="AU530" s="1">
        <v>0.9</v>
      </c>
      <c r="AV530" s="1">
        <v>1865</v>
      </c>
      <c r="AW530" s="1">
        <v>460000</v>
      </c>
      <c r="AX530" s="1">
        <v>130550</v>
      </c>
      <c r="AY530" s="1">
        <v>444757.50000000006</v>
      </c>
      <c r="AZ530" s="1">
        <v>0.35</v>
      </c>
      <c r="BA530" s="1">
        <v>19</v>
      </c>
      <c r="BB530" s="1">
        <v>920000</v>
      </c>
      <c r="BC530" s="1">
        <v>1035307.5</v>
      </c>
      <c r="BD530" s="1">
        <v>14396</v>
      </c>
      <c r="BE530" s="1">
        <v>423</v>
      </c>
      <c r="BF530" s="1">
        <v>682</v>
      </c>
      <c r="BG530" s="1">
        <v>0.11</v>
      </c>
      <c r="BH530" s="1" t="s">
        <v>481</v>
      </c>
      <c r="BI530" s="1"/>
      <c r="BJ530" s="1">
        <v>23408.289473684214</v>
      </c>
      <c r="BK530" s="1"/>
    </row>
    <row r="531" spans="1:63" ht="30" thickBot="1" x14ac:dyDescent="0.25">
      <c r="A531" s="3">
        <v>531</v>
      </c>
      <c r="B531" s="3" t="s">
        <v>500</v>
      </c>
      <c r="C531" s="3" t="s">
        <v>543</v>
      </c>
      <c r="D531" s="1" t="s">
        <v>501</v>
      </c>
      <c r="E531" s="1"/>
      <c r="F531" s="1"/>
      <c r="G531" s="1" t="s">
        <v>102</v>
      </c>
      <c r="H531" s="1" t="s">
        <v>110</v>
      </c>
      <c r="I531" s="1"/>
      <c r="J531" s="113">
        <f>Table4[[#This Row],[total_cost_npr]]*(1/'Calculations &amp; Assumptions'!$C$6)</f>
        <v>466888.14472671284</v>
      </c>
      <c r="K531" s="113">
        <f>Table4[[#This Row],[system_cost_npr_per_kwp]]*(1/'Calculations &amp; Assumptions'!$C$6)</f>
        <v>2334.4407236335637</v>
      </c>
      <c r="L531" s="23">
        <f>IF(Table4[[#This Row],[total_cost_inr]]&gt;0, Table4[[#This Row],[total_cost_inr]]*'Calculations &amp; Assumptions'!$C$7,IF(Table4[[#This Row],[total_cost_eur]]&gt;0,Table4[[#This Row],[total_cost_eur]]*'Calculations &amp; Assumptions'!$C$5,0))</f>
        <v>60648770</v>
      </c>
      <c r="M531" s="77">
        <f>IF(H531="smartmeter_1ph",Table4[[#This Row],[total_cost_npr]],Table4[[#This Row],[total_cost_npr]]/Table4[[#This Row],[pv_kWp]])</f>
        <v>303243.84999999998</v>
      </c>
      <c r="N531" s="1"/>
      <c r="O531" s="1">
        <f>Table4[[#This Row],[total_cost_inr]]/Table4[[#This Row],[pv_kWp]]</f>
        <v>0</v>
      </c>
      <c r="P531" s="1">
        <v>466529</v>
      </c>
      <c r="Q531" s="1"/>
      <c r="R531" s="1"/>
      <c r="S531" s="1"/>
      <c r="T531" s="1">
        <v>200</v>
      </c>
      <c r="U531" s="1"/>
      <c r="V531" s="1"/>
      <c r="W531" s="1"/>
      <c r="X531" s="1"/>
      <c r="Y531" s="1"/>
      <c r="Z531" s="1"/>
      <c r="AA531" s="1"/>
      <c r="AB531" s="1"/>
      <c r="AC531" s="1"/>
      <c r="AD531" s="1">
        <v>410</v>
      </c>
      <c r="AE531" s="1"/>
      <c r="AF531" s="1"/>
      <c r="AG531" s="1"/>
      <c r="AH531" s="6"/>
      <c r="AI531" s="1"/>
      <c r="AJ531" s="1"/>
      <c r="AK531" s="1"/>
      <c r="AL531" s="1"/>
      <c r="AM531" s="1"/>
      <c r="AN531" s="1"/>
      <c r="AO531" s="1"/>
      <c r="AP531" s="1"/>
      <c r="AQ531" s="1"/>
      <c r="AR531" s="1"/>
      <c r="AS531" s="1" t="s">
        <v>502</v>
      </c>
      <c r="AT531" s="1" t="s">
        <v>503</v>
      </c>
      <c r="AU531" s="1">
        <v>1</v>
      </c>
      <c r="AV531" s="1">
        <v>1190</v>
      </c>
      <c r="AW531" s="1"/>
      <c r="AX531" s="1"/>
      <c r="AY531" s="1">
        <v>0</v>
      </c>
      <c r="AZ531" s="1"/>
      <c r="BA531" s="1"/>
      <c r="BB531" s="1">
        <v>466529</v>
      </c>
      <c r="BC531" s="1">
        <v>466529</v>
      </c>
      <c r="BD531" s="1"/>
      <c r="BE531" s="1">
        <v>200</v>
      </c>
      <c r="BF531" s="1">
        <v>410</v>
      </c>
      <c r="BG531" s="1"/>
      <c r="BH531" s="1"/>
      <c r="BI531" s="1"/>
      <c r="BJ531" s="1"/>
      <c r="BK531" s="1"/>
    </row>
    <row r="532" spans="1:63" ht="30" thickBot="1" x14ac:dyDescent="0.25">
      <c r="A532" s="3">
        <v>532</v>
      </c>
      <c r="B532" s="3" t="s">
        <v>500</v>
      </c>
      <c r="C532" s="3" t="s">
        <v>543</v>
      </c>
      <c r="D532" s="1" t="s">
        <v>501</v>
      </c>
      <c r="E532" s="1"/>
      <c r="F532" s="1"/>
      <c r="G532" s="1" t="s">
        <v>102</v>
      </c>
      <c r="H532" s="1" t="s">
        <v>110</v>
      </c>
      <c r="I532" s="1"/>
      <c r="J532" s="113">
        <f>Table4[[#This Row],[total_cost_npr]]*(1/'Calculations &amp; Assumptions'!$C$6)</f>
        <v>511070.13086989988</v>
      </c>
      <c r="K532" s="113">
        <f>Table4[[#This Row],[system_cost_npr_per_kwp]]*(1/'Calculations &amp; Assumptions'!$C$6)</f>
        <v>2555.3506543494991</v>
      </c>
      <c r="L532" s="23">
        <f>IF(Table4[[#This Row],[total_cost_inr]]&gt;0, Table4[[#This Row],[total_cost_inr]]*'Calculations &amp; Assumptions'!$C$7,IF(Table4[[#This Row],[total_cost_eur]]&gt;0,Table4[[#This Row],[total_cost_eur]]*'Calculations &amp; Assumptions'!$C$5,0))</f>
        <v>66388010</v>
      </c>
      <c r="M532" s="77">
        <f>IF(H532="smartmeter_1ph",Table4[[#This Row],[total_cost_npr]],Table4[[#This Row],[total_cost_npr]]/Table4[[#This Row],[pv_kWp]])</f>
        <v>331940.05</v>
      </c>
      <c r="N532" s="1"/>
      <c r="O532" s="1">
        <f>Table4[[#This Row],[total_cost_inr]]/Table4[[#This Row],[pv_kWp]]</f>
        <v>0</v>
      </c>
      <c r="P532" s="1">
        <v>510677</v>
      </c>
      <c r="Q532" s="1"/>
      <c r="R532" s="1"/>
      <c r="S532" s="1"/>
      <c r="T532" s="1">
        <v>200</v>
      </c>
      <c r="U532" s="1"/>
      <c r="V532" s="1"/>
      <c r="W532" s="1"/>
      <c r="X532" s="1"/>
      <c r="Y532" s="1"/>
      <c r="Z532" s="1"/>
      <c r="AA532" s="1"/>
      <c r="AB532" s="1"/>
      <c r="AC532" s="1"/>
      <c r="AD532" s="1">
        <v>410</v>
      </c>
      <c r="AE532" s="1"/>
      <c r="AF532" s="1"/>
      <c r="AG532" s="1"/>
      <c r="AH532" s="6"/>
      <c r="AI532" s="1"/>
      <c r="AJ532" s="1"/>
      <c r="AK532" s="1"/>
      <c r="AL532" s="1"/>
      <c r="AM532" s="1"/>
      <c r="AN532" s="1"/>
      <c r="AO532" s="1"/>
      <c r="AP532" s="1"/>
      <c r="AQ532" s="1"/>
      <c r="AR532" s="1"/>
      <c r="AS532" s="1" t="s">
        <v>504</v>
      </c>
      <c r="AT532" s="1" t="s">
        <v>505</v>
      </c>
      <c r="AU532" s="1">
        <v>1</v>
      </c>
      <c r="AV532" s="1">
        <v>1190</v>
      </c>
      <c r="AW532" s="1"/>
      <c r="AX532" s="1"/>
      <c r="AY532" s="1">
        <v>0</v>
      </c>
      <c r="AZ532" s="1"/>
      <c r="BA532" s="1"/>
      <c r="BB532" s="1">
        <v>510677</v>
      </c>
      <c r="BC532" s="1">
        <v>510677</v>
      </c>
      <c r="BD532" s="1"/>
      <c r="BE532" s="1">
        <v>200</v>
      </c>
      <c r="BF532" s="1">
        <v>410</v>
      </c>
      <c r="BG532" s="1"/>
      <c r="BH532" s="1"/>
      <c r="BI532" s="1"/>
      <c r="BJ532" s="1"/>
      <c r="BK532" s="1"/>
    </row>
    <row r="533" spans="1:63" ht="30" thickBot="1" x14ac:dyDescent="0.25">
      <c r="A533" s="3">
        <v>533</v>
      </c>
      <c r="B533" s="3" t="s">
        <v>500</v>
      </c>
      <c r="C533" s="3" t="s">
        <v>543</v>
      </c>
      <c r="D533" s="1" t="s">
        <v>501</v>
      </c>
      <c r="E533" s="1"/>
      <c r="F533" s="1"/>
      <c r="G533" s="1" t="s">
        <v>102</v>
      </c>
      <c r="H533" s="1" t="s">
        <v>110</v>
      </c>
      <c r="I533" s="1"/>
      <c r="J533" s="113">
        <f>Table4[[#This Row],[total_cost_npr]]*(1/'Calculations &amp; Assumptions'!$C$6)</f>
        <v>572440.33872209385</v>
      </c>
      <c r="K533" s="113">
        <f>Table4[[#This Row],[system_cost_npr_per_kwp]]*(1/'Calculations &amp; Assumptions'!$C$6)</f>
        <v>2862.2016936104692</v>
      </c>
      <c r="L533" s="23">
        <f>IF(Table4[[#This Row],[total_cost_inr]]&gt;0, Table4[[#This Row],[total_cost_inr]]*'Calculations &amp; Assumptions'!$C$7,IF(Table4[[#This Row],[total_cost_eur]]&gt;0,Table4[[#This Row],[total_cost_eur]]*'Calculations &amp; Assumptions'!$C$5,0))</f>
        <v>74360000</v>
      </c>
      <c r="M533" s="77">
        <f>IF(H533="smartmeter_1ph",Table4[[#This Row],[total_cost_npr]],Table4[[#This Row],[total_cost_npr]]/Table4[[#This Row],[pv_kWp]])</f>
        <v>371800</v>
      </c>
      <c r="N533" s="1"/>
      <c r="O533" s="1">
        <f>Table4[[#This Row],[total_cost_inr]]/Table4[[#This Row],[pv_kWp]]</f>
        <v>0</v>
      </c>
      <c r="P533" s="1">
        <v>572000</v>
      </c>
      <c r="Q533" s="1"/>
      <c r="R533" s="1"/>
      <c r="S533" s="1"/>
      <c r="T533" s="1">
        <v>200</v>
      </c>
      <c r="U533" s="1"/>
      <c r="V533" s="1"/>
      <c r="W533" s="1"/>
      <c r="X533" s="1"/>
      <c r="Y533" s="1"/>
      <c r="Z533" s="1"/>
      <c r="AA533" s="1"/>
      <c r="AB533" s="1"/>
      <c r="AC533" s="1"/>
      <c r="AD533" s="1">
        <v>410</v>
      </c>
      <c r="AE533" s="1"/>
      <c r="AF533" s="1"/>
      <c r="AG533" s="1"/>
      <c r="AH533" s="6"/>
      <c r="AI533" s="1"/>
      <c r="AJ533" s="1"/>
      <c r="AK533" s="1"/>
      <c r="AL533" s="1"/>
      <c r="AM533" s="1"/>
      <c r="AN533" s="1"/>
      <c r="AO533" s="1"/>
      <c r="AP533" s="1"/>
      <c r="AQ533" s="1"/>
      <c r="AR533" s="1"/>
      <c r="AS533" s="1" t="s">
        <v>506</v>
      </c>
      <c r="AT533" s="1" t="s">
        <v>507</v>
      </c>
      <c r="AU533" s="1">
        <v>1</v>
      </c>
      <c r="AV533" s="1">
        <v>1190</v>
      </c>
      <c r="AW533" s="1"/>
      <c r="AX533" s="1"/>
      <c r="AY533" s="1">
        <v>0</v>
      </c>
      <c r="AZ533" s="1"/>
      <c r="BA533" s="1"/>
      <c r="BB533" s="1">
        <v>572000</v>
      </c>
      <c r="BC533" s="1">
        <v>572000</v>
      </c>
      <c r="BD533" s="1"/>
      <c r="BE533" s="1">
        <v>200</v>
      </c>
      <c r="BF533" s="1">
        <v>410</v>
      </c>
      <c r="BG533" s="1"/>
      <c r="BH533" s="1"/>
      <c r="BI533" s="1"/>
      <c r="BJ533" s="1"/>
      <c r="BK533" s="1"/>
    </row>
    <row r="534" spans="1:63" ht="30" thickBot="1" x14ac:dyDescent="0.25">
      <c r="A534" s="3">
        <v>534</v>
      </c>
      <c r="B534" s="3" t="s">
        <v>500</v>
      </c>
      <c r="C534" s="3" t="s">
        <v>543</v>
      </c>
      <c r="D534" s="1" t="s">
        <v>501</v>
      </c>
      <c r="E534" s="1"/>
      <c r="F534" s="1"/>
      <c r="G534" s="1" t="s">
        <v>102</v>
      </c>
      <c r="H534" s="1" t="s">
        <v>110</v>
      </c>
      <c r="I534" s="1"/>
      <c r="J534" s="113">
        <f>Table4[[#This Row],[total_cost_npr]]*(1/'Calculations &amp; Assumptions'!$C$6)</f>
        <v>176326.63587374901</v>
      </c>
      <c r="K534" s="113">
        <f>Table4[[#This Row],[system_cost_npr_per_kwp]]*(1/'Calculations &amp; Assumptions'!$C$6)</f>
        <v>2518.9519410535577</v>
      </c>
      <c r="L534" s="23">
        <f>IF(Table4[[#This Row],[total_cost_inr]]&gt;0, Table4[[#This Row],[total_cost_inr]]*'Calculations &amp; Assumptions'!$C$7,IF(Table4[[#This Row],[total_cost_eur]]&gt;0,Table4[[#This Row],[total_cost_eur]]*'Calculations &amp; Assumptions'!$C$5,0))</f>
        <v>22904830</v>
      </c>
      <c r="M534" s="77">
        <f>IF(H534="smartmeter_1ph",Table4[[#This Row],[total_cost_npr]],Table4[[#This Row],[total_cost_npr]]/Table4[[#This Row],[pv_kWp]])</f>
        <v>327211.85714285716</v>
      </c>
      <c r="N534" s="1"/>
      <c r="O534" s="1">
        <f>Table4[[#This Row],[total_cost_inr]]/Table4[[#This Row],[pv_kWp]]</f>
        <v>0</v>
      </c>
      <c r="P534" s="1">
        <v>176191</v>
      </c>
      <c r="Q534" s="1"/>
      <c r="R534" s="1"/>
      <c r="S534" s="1"/>
      <c r="T534" s="1">
        <v>70</v>
      </c>
      <c r="U534" s="1"/>
      <c r="V534" s="1"/>
      <c r="W534" s="1"/>
      <c r="X534" s="1"/>
      <c r="Y534" s="1"/>
      <c r="Z534" s="1"/>
      <c r="AA534" s="1"/>
      <c r="AB534" s="1"/>
      <c r="AC534" s="1"/>
      <c r="AD534" s="1">
        <v>160</v>
      </c>
      <c r="AE534" s="1"/>
      <c r="AF534" s="1"/>
      <c r="AG534" s="1"/>
      <c r="AH534" s="6"/>
      <c r="AI534" s="1"/>
      <c r="AJ534" s="1"/>
      <c r="AK534" s="1"/>
      <c r="AL534" s="1"/>
      <c r="AM534" s="1"/>
      <c r="AN534" s="1"/>
      <c r="AO534" s="1"/>
      <c r="AP534" s="1"/>
      <c r="AQ534" s="1"/>
      <c r="AR534" s="1"/>
      <c r="AS534" s="1" t="s">
        <v>502</v>
      </c>
      <c r="AT534" s="1" t="s">
        <v>508</v>
      </c>
      <c r="AU534" s="1">
        <v>1</v>
      </c>
      <c r="AV534" s="1">
        <v>400</v>
      </c>
      <c r="AW534" s="1"/>
      <c r="AX534" s="1"/>
      <c r="AY534" s="1">
        <v>0</v>
      </c>
      <c r="AZ534" s="1"/>
      <c r="BA534" s="1"/>
      <c r="BB534" s="1">
        <v>176191</v>
      </c>
      <c r="BC534" s="1">
        <v>176191</v>
      </c>
      <c r="BD534" s="1"/>
      <c r="BE534" s="1">
        <v>70</v>
      </c>
      <c r="BF534" s="1">
        <v>160</v>
      </c>
      <c r="BG534" s="1"/>
      <c r="BH534" s="1"/>
      <c r="BI534" s="1"/>
      <c r="BJ534" s="1"/>
      <c r="BK534" s="1"/>
    </row>
    <row r="535" spans="1:63" ht="30" thickBot="1" x14ac:dyDescent="0.25">
      <c r="A535" s="3">
        <v>535</v>
      </c>
      <c r="B535" s="3" t="s">
        <v>500</v>
      </c>
      <c r="C535" s="3" t="s">
        <v>543</v>
      </c>
      <c r="D535" s="1" t="s">
        <v>501</v>
      </c>
      <c r="E535" s="1"/>
      <c r="F535" s="1"/>
      <c r="G535" s="1" t="s">
        <v>102</v>
      </c>
      <c r="H535" s="1" t="s">
        <v>110</v>
      </c>
      <c r="I535" s="1"/>
      <c r="J535" s="113">
        <f>Table4[[#This Row],[total_cost_npr]]*(1/'Calculations &amp; Assumptions'!$C$6)</f>
        <v>212030.10007698229</v>
      </c>
      <c r="K535" s="113">
        <f>Table4[[#This Row],[system_cost_npr_per_kwp]]*(1/'Calculations &amp; Assumptions'!$C$6)</f>
        <v>3029.0014296711756</v>
      </c>
      <c r="L535" s="23">
        <f>IF(Table4[[#This Row],[total_cost_inr]]&gt;0, Table4[[#This Row],[total_cost_inr]]*'Calculations &amp; Assumptions'!$C$7,IF(Table4[[#This Row],[total_cost_eur]]&gt;0,Table4[[#This Row],[total_cost_eur]]*'Calculations &amp; Assumptions'!$C$5,0))</f>
        <v>27542710</v>
      </c>
      <c r="M535" s="77">
        <f>IF(H535="smartmeter_1ph",Table4[[#This Row],[total_cost_npr]],Table4[[#This Row],[total_cost_npr]]/Table4[[#This Row],[pv_kWp]])</f>
        <v>393467.28571428574</v>
      </c>
      <c r="N535" s="1"/>
      <c r="O535" s="1">
        <f>Table4[[#This Row],[total_cost_inr]]/Table4[[#This Row],[pv_kWp]]</f>
        <v>0</v>
      </c>
      <c r="P535" s="1">
        <v>211867</v>
      </c>
      <c r="Q535" s="1"/>
      <c r="R535" s="1"/>
      <c r="S535" s="1"/>
      <c r="T535" s="1">
        <v>70</v>
      </c>
      <c r="U535" s="1"/>
      <c r="V535" s="1"/>
      <c r="W535" s="1"/>
      <c r="X535" s="1"/>
      <c r="Y535" s="1"/>
      <c r="Z535" s="1"/>
      <c r="AA535" s="1"/>
      <c r="AB535" s="1"/>
      <c r="AC535" s="1"/>
      <c r="AD535" s="1">
        <v>160</v>
      </c>
      <c r="AE535" s="1"/>
      <c r="AF535" s="1"/>
      <c r="AG535" s="1"/>
      <c r="AH535" s="6"/>
      <c r="AI535" s="1"/>
      <c r="AJ535" s="1"/>
      <c r="AK535" s="1"/>
      <c r="AL535" s="1"/>
      <c r="AM535" s="1"/>
      <c r="AN535" s="1"/>
      <c r="AO535" s="1"/>
      <c r="AP535" s="1"/>
      <c r="AQ535" s="1"/>
      <c r="AR535" s="1"/>
      <c r="AS535" s="1" t="s">
        <v>504</v>
      </c>
      <c r="AT535" s="1" t="s">
        <v>509</v>
      </c>
      <c r="AU535" s="1">
        <v>1</v>
      </c>
      <c r="AV535" s="1">
        <v>400</v>
      </c>
      <c r="AW535" s="1"/>
      <c r="AX535" s="1"/>
      <c r="AY535" s="1">
        <v>0</v>
      </c>
      <c r="AZ535" s="1"/>
      <c r="BA535" s="1"/>
      <c r="BB535" s="1">
        <v>211867</v>
      </c>
      <c r="BC535" s="1">
        <v>211867</v>
      </c>
      <c r="BD535" s="1"/>
      <c r="BE535" s="1">
        <v>70</v>
      </c>
      <c r="BF535" s="1">
        <v>160</v>
      </c>
      <c r="BG535" s="1"/>
      <c r="BH535" s="1"/>
      <c r="BI535" s="1"/>
      <c r="BJ535" s="1"/>
      <c r="BK535" s="1"/>
    </row>
    <row r="536" spans="1:63" ht="30" thickBot="1" x14ac:dyDescent="0.25">
      <c r="A536" s="3">
        <v>536</v>
      </c>
      <c r="B536" s="3" t="s">
        <v>500</v>
      </c>
      <c r="C536" s="3" t="s">
        <v>543</v>
      </c>
      <c r="D536" s="1" t="s">
        <v>501</v>
      </c>
      <c r="E536" s="1"/>
      <c r="F536" s="1"/>
      <c r="G536" s="1" t="s">
        <v>102</v>
      </c>
      <c r="H536" s="1" t="s">
        <v>110</v>
      </c>
      <c r="I536" s="1"/>
      <c r="J536" s="113">
        <f>Table4[[#This Row],[total_cost_npr]]*(1/'Calculations &amp; Assumptions'!$C$6)</f>
        <v>292009.62278675899</v>
      </c>
      <c r="K536" s="113">
        <f>Table4[[#This Row],[system_cost_npr_per_kwp]]*(1/'Calculations &amp; Assumptions'!$C$6)</f>
        <v>4171.566039810843</v>
      </c>
      <c r="L536" s="23">
        <f>IF(Table4[[#This Row],[total_cost_inr]]&gt;0, Table4[[#This Row],[total_cost_inr]]*'Calculations &amp; Assumptions'!$C$7,IF(Table4[[#This Row],[total_cost_eur]]&gt;0,Table4[[#This Row],[total_cost_eur]]*'Calculations &amp; Assumptions'!$C$5,0))</f>
        <v>37932050</v>
      </c>
      <c r="M536" s="77">
        <f>IF(H536="smartmeter_1ph",Table4[[#This Row],[total_cost_npr]],Table4[[#This Row],[total_cost_npr]]/Table4[[#This Row],[pv_kWp]])</f>
        <v>541886.42857142852</v>
      </c>
      <c r="N536" s="1"/>
      <c r="O536" s="1">
        <f>Table4[[#This Row],[total_cost_inr]]/Table4[[#This Row],[pv_kWp]]</f>
        <v>0</v>
      </c>
      <c r="P536" s="1">
        <v>291785</v>
      </c>
      <c r="Q536" s="1"/>
      <c r="R536" s="1"/>
      <c r="S536" s="1"/>
      <c r="T536" s="1">
        <v>70</v>
      </c>
      <c r="U536" s="1"/>
      <c r="V536" s="1"/>
      <c r="W536" s="1"/>
      <c r="X536" s="1"/>
      <c r="Y536" s="1"/>
      <c r="Z536" s="1"/>
      <c r="AA536" s="1"/>
      <c r="AB536" s="1"/>
      <c r="AC536" s="1"/>
      <c r="AD536" s="1">
        <v>160</v>
      </c>
      <c r="AE536" s="1"/>
      <c r="AF536" s="1"/>
      <c r="AG536" s="1"/>
      <c r="AH536" s="6"/>
      <c r="AI536" s="1"/>
      <c r="AJ536" s="1"/>
      <c r="AK536" s="1"/>
      <c r="AL536" s="1"/>
      <c r="AM536" s="1"/>
      <c r="AN536" s="1"/>
      <c r="AO536" s="1"/>
      <c r="AP536" s="1"/>
      <c r="AQ536" s="1"/>
      <c r="AR536" s="1"/>
      <c r="AS536" s="1" t="s">
        <v>506</v>
      </c>
      <c r="AT536" s="1" t="s">
        <v>510</v>
      </c>
      <c r="AU536" s="1">
        <v>1</v>
      </c>
      <c r="AV536" s="1">
        <v>400</v>
      </c>
      <c r="AW536" s="1"/>
      <c r="AX536" s="1"/>
      <c r="AY536" s="1">
        <v>0</v>
      </c>
      <c r="AZ536" s="1"/>
      <c r="BA536" s="1"/>
      <c r="BB536" s="1">
        <v>291785</v>
      </c>
      <c r="BC536" s="1">
        <v>291785</v>
      </c>
      <c r="BD536" s="1"/>
      <c r="BE536" s="1">
        <v>70</v>
      </c>
      <c r="BF536" s="1">
        <v>160</v>
      </c>
      <c r="BG536" s="1"/>
      <c r="BH536" s="1"/>
      <c r="BI536" s="1"/>
      <c r="BJ536" s="1"/>
      <c r="BK536" s="1"/>
    </row>
    <row r="537" spans="1:63" ht="16" thickBot="1" x14ac:dyDescent="0.25">
      <c r="A537" s="3">
        <v>537</v>
      </c>
      <c r="B537" s="3" t="s">
        <v>500</v>
      </c>
      <c r="C537" s="3" t="s">
        <v>543</v>
      </c>
      <c r="D537" s="1" t="s">
        <v>501</v>
      </c>
      <c r="E537" s="1"/>
      <c r="F537" s="1"/>
      <c r="G537" s="1" t="s">
        <v>102</v>
      </c>
      <c r="H537" s="1" t="s">
        <v>110</v>
      </c>
      <c r="I537" s="1"/>
      <c r="J537" s="113">
        <f>Table4[[#This Row],[total_cost_npr]]*(1/'Calculations &amp; Assumptions'!$C$6)</f>
        <v>252081.90916089297</v>
      </c>
      <c r="K537" s="113">
        <f>Table4[[#This Row],[system_cost_npr_per_kwp]]*(1/'Calculations &amp; Assumptions'!$C$6)</f>
        <v>2520.8190916089297</v>
      </c>
      <c r="L537" s="23">
        <f>IF(Table4[[#This Row],[total_cost_inr]]&gt;0, Table4[[#This Row],[total_cost_inr]]*'Calculations &amp; Assumptions'!$C$7,IF(Table4[[#This Row],[total_cost_eur]]&gt;0,Table4[[#This Row],[total_cost_eur]]*'Calculations &amp; Assumptions'!$C$5,0))</f>
        <v>32745440</v>
      </c>
      <c r="M537" s="77">
        <f>IF(H537="smartmeter_1ph",Table4[[#This Row],[total_cost_npr]],Table4[[#This Row],[total_cost_npr]]/Table4[[#This Row],[pv_kWp]])</f>
        <v>327454.40000000002</v>
      </c>
      <c r="N537" s="1"/>
      <c r="O537" s="1">
        <f>Table4[[#This Row],[total_cost_inr]]/Table4[[#This Row],[pv_kWp]]</f>
        <v>0</v>
      </c>
      <c r="P537" s="1">
        <v>251888</v>
      </c>
      <c r="Q537" s="1"/>
      <c r="R537" s="1"/>
      <c r="S537" s="1"/>
      <c r="T537" s="1">
        <v>100</v>
      </c>
      <c r="U537" s="1"/>
      <c r="V537" s="1"/>
      <c r="W537" s="1"/>
      <c r="X537" s="1"/>
      <c r="Y537" s="1"/>
      <c r="Z537" s="1"/>
      <c r="AA537" s="1"/>
      <c r="AB537" s="1"/>
      <c r="AC537" s="1"/>
      <c r="AD537" s="1">
        <v>220</v>
      </c>
      <c r="AE537" s="1"/>
      <c r="AF537" s="1"/>
      <c r="AG537" s="1"/>
      <c r="AH537" s="6"/>
      <c r="AI537" s="1"/>
      <c r="AJ537" s="1"/>
      <c r="AK537" s="1"/>
      <c r="AL537" s="1"/>
      <c r="AM537" s="1"/>
      <c r="AN537" s="1"/>
      <c r="AO537" s="1"/>
      <c r="AP537" s="1"/>
      <c r="AQ537" s="1"/>
      <c r="AR537" s="1"/>
      <c r="AS537" s="1" t="s">
        <v>502</v>
      </c>
      <c r="AT537" s="1" t="s">
        <v>511</v>
      </c>
      <c r="AU537" s="1">
        <v>1</v>
      </c>
      <c r="AV537" s="1">
        <v>680</v>
      </c>
      <c r="AW537" s="1"/>
      <c r="AX537" s="1"/>
      <c r="AY537" s="1">
        <v>0</v>
      </c>
      <c r="AZ537" s="1"/>
      <c r="BA537" s="1"/>
      <c r="BB537" s="1">
        <v>251888</v>
      </c>
      <c r="BC537" s="1">
        <v>251888</v>
      </c>
      <c r="BD537" s="1"/>
      <c r="BE537" s="1">
        <v>100</v>
      </c>
      <c r="BF537" s="1">
        <v>220</v>
      </c>
      <c r="BG537" s="1"/>
      <c r="BH537" s="1"/>
      <c r="BI537" s="1"/>
      <c r="BJ537" s="1"/>
      <c r="BK537" s="1"/>
    </row>
    <row r="538" spans="1:63" ht="16" thickBot="1" x14ac:dyDescent="0.25">
      <c r="A538" s="3">
        <v>538</v>
      </c>
      <c r="B538" s="3" t="s">
        <v>500</v>
      </c>
      <c r="C538" s="3" t="s">
        <v>543</v>
      </c>
      <c r="D538" s="1" t="s">
        <v>501</v>
      </c>
      <c r="E538" s="1"/>
      <c r="F538" s="1"/>
      <c r="G538" s="1" t="s">
        <v>102</v>
      </c>
      <c r="H538" s="1" t="s">
        <v>110</v>
      </c>
      <c r="I538" s="1"/>
      <c r="J538" s="113">
        <f>Table4[[#This Row],[total_cost_npr]]*(1/'Calculations &amp; Assumptions'!$C$6)</f>
        <v>308019.9384141647</v>
      </c>
      <c r="K538" s="113">
        <f>Table4[[#This Row],[system_cost_npr_per_kwp]]*(1/'Calculations &amp; Assumptions'!$C$6)</f>
        <v>3080.1993841416474</v>
      </c>
      <c r="L538" s="23">
        <f>IF(Table4[[#This Row],[total_cost_inr]]&gt;0, Table4[[#This Row],[total_cost_inr]]*'Calculations &amp; Assumptions'!$C$7,IF(Table4[[#This Row],[total_cost_eur]]&gt;0,Table4[[#This Row],[total_cost_eur]]*'Calculations &amp; Assumptions'!$C$5,0))</f>
        <v>40011790</v>
      </c>
      <c r="M538" s="77">
        <f>IF(H538="smartmeter_1ph",Table4[[#This Row],[total_cost_npr]],Table4[[#This Row],[total_cost_npr]]/Table4[[#This Row],[pv_kWp]])</f>
        <v>400117.9</v>
      </c>
      <c r="N538" s="1"/>
      <c r="O538" s="1">
        <f>Table4[[#This Row],[total_cost_inr]]/Table4[[#This Row],[pv_kWp]]</f>
        <v>0</v>
      </c>
      <c r="P538" s="1">
        <v>307783</v>
      </c>
      <c r="Q538" s="1"/>
      <c r="R538" s="1"/>
      <c r="S538" s="1"/>
      <c r="T538" s="1">
        <v>100</v>
      </c>
      <c r="U538" s="1"/>
      <c r="V538" s="1"/>
      <c r="W538" s="1"/>
      <c r="X538" s="1"/>
      <c r="Y538" s="1"/>
      <c r="Z538" s="1"/>
      <c r="AA538" s="1"/>
      <c r="AB538" s="1"/>
      <c r="AC538" s="1"/>
      <c r="AD538" s="1">
        <v>220</v>
      </c>
      <c r="AE538" s="1"/>
      <c r="AF538" s="1"/>
      <c r="AG538" s="1"/>
      <c r="AH538" s="6"/>
      <c r="AI538" s="1"/>
      <c r="AJ538" s="1"/>
      <c r="AK538" s="1"/>
      <c r="AL538" s="1"/>
      <c r="AM538" s="1"/>
      <c r="AN538" s="1"/>
      <c r="AO538" s="1"/>
      <c r="AP538" s="1"/>
      <c r="AQ538" s="1"/>
      <c r="AR538" s="1"/>
      <c r="AS538" s="1" t="s">
        <v>504</v>
      </c>
      <c r="AT538" s="1" t="s">
        <v>512</v>
      </c>
      <c r="AU538" s="1">
        <v>1</v>
      </c>
      <c r="AV538" s="1">
        <v>680</v>
      </c>
      <c r="AW538" s="1"/>
      <c r="AX538" s="1"/>
      <c r="AY538" s="1">
        <v>0</v>
      </c>
      <c r="AZ538" s="1"/>
      <c r="BA538" s="1"/>
      <c r="BB538" s="1">
        <v>307783</v>
      </c>
      <c r="BC538" s="1">
        <v>307783</v>
      </c>
      <c r="BD538" s="1"/>
      <c r="BE538" s="1">
        <v>100</v>
      </c>
      <c r="BF538" s="1">
        <v>220</v>
      </c>
      <c r="BG538" s="1"/>
      <c r="BH538" s="1"/>
      <c r="BI538" s="1"/>
      <c r="BJ538" s="1"/>
      <c r="BK538" s="1"/>
    </row>
    <row r="539" spans="1:63" ht="16" thickBot="1" x14ac:dyDescent="0.25">
      <c r="A539" s="3">
        <v>539</v>
      </c>
      <c r="B539" s="3" t="s">
        <v>500</v>
      </c>
      <c r="C539" s="3" t="s">
        <v>543</v>
      </c>
      <c r="D539" s="1" t="s">
        <v>501</v>
      </c>
      <c r="E539" s="1"/>
      <c r="F539" s="1"/>
      <c r="G539" s="1" t="s">
        <v>102</v>
      </c>
      <c r="H539" s="1" t="s">
        <v>110</v>
      </c>
      <c r="I539" s="1"/>
      <c r="J539" s="113">
        <f>Table4[[#This Row],[total_cost_npr]]*(1/'Calculations &amp; Assumptions'!$C$6)</f>
        <v>388561.89376443415</v>
      </c>
      <c r="K539" s="113">
        <f>Table4[[#This Row],[system_cost_npr_per_kwp]]*(1/'Calculations &amp; Assumptions'!$C$6)</f>
        <v>3885.6189376443417</v>
      </c>
      <c r="L539" s="23">
        <f>IF(Table4[[#This Row],[total_cost_inr]]&gt;0, Table4[[#This Row],[total_cost_inr]]*'Calculations &amp; Assumptions'!$C$7,IF(Table4[[#This Row],[total_cost_eur]]&gt;0,Table4[[#This Row],[total_cost_eur]]*'Calculations &amp; Assumptions'!$C$5,0))</f>
        <v>50474190</v>
      </c>
      <c r="M539" s="77">
        <f>IF(H539="smartmeter_1ph",Table4[[#This Row],[total_cost_npr]],Table4[[#This Row],[total_cost_npr]]/Table4[[#This Row],[pv_kWp]])</f>
        <v>504741.9</v>
      </c>
      <c r="N539" s="1"/>
      <c r="O539" s="1">
        <f>Table4[[#This Row],[total_cost_inr]]/Table4[[#This Row],[pv_kWp]]</f>
        <v>0</v>
      </c>
      <c r="P539" s="1">
        <v>388263</v>
      </c>
      <c r="Q539" s="1"/>
      <c r="R539" s="1"/>
      <c r="S539" s="1"/>
      <c r="T539" s="1">
        <v>100</v>
      </c>
      <c r="U539" s="1"/>
      <c r="V539" s="1"/>
      <c r="W539" s="1"/>
      <c r="X539" s="1"/>
      <c r="Y539" s="1"/>
      <c r="Z539" s="1"/>
      <c r="AA539" s="1"/>
      <c r="AB539" s="1"/>
      <c r="AC539" s="1"/>
      <c r="AD539" s="1">
        <v>220</v>
      </c>
      <c r="AE539" s="1"/>
      <c r="AF539" s="1"/>
      <c r="AG539" s="1"/>
      <c r="AH539" s="6"/>
      <c r="AI539" s="1"/>
      <c r="AJ539" s="1"/>
      <c r="AK539" s="1"/>
      <c r="AL539" s="1"/>
      <c r="AM539" s="1"/>
      <c r="AN539" s="1"/>
      <c r="AO539" s="1"/>
      <c r="AP539" s="1"/>
      <c r="AQ539" s="1"/>
      <c r="AR539" s="1"/>
      <c r="AS539" s="1" t="s">
        <v>506</v>
      </c>
      <c r="AT539" s="1" t="s">
        <v>513</v>
      </c>
      <c r="AU539" s="1">
        <v>1</v>
      </c>
      <c r="AV539" s="1">
        <v>680</v>
      </c>
      <c r="AW539" s="1"/>
      <c r="AX539" s="1"/>
      <c r="AY539" s="1">
        <v>0</v>
      </c>
      <c r="AZ539" s="1"/>
      <c r="BA539" s="1"/>
      <c r="BB539" s="1">
        <v>388263</v>
      </c>
      <c r="BC539" s="1">
        <v>388263</v>
      </c>
      <c r="BD539" s="1"/>
      <c r="BE539" s="1">
        <v>100</v>
      </c>
      <c r="BF539" s="1">
        <v>220</v>
      </c>
      <c r="BG539" s="1"/>
      <c r="BH539" s="1"/>
      <c r="BI539" s="1"/>
      <c r="BJ539" s="1"/>
      <c r="BK539" s="1"/>
    </row>
    <row r="540" spans="1:63" ht="16" thickBot="1" x14ac:dyDescent="0.25">
      <c r="A540" s="3">
        <v>540</v>
      </c>
      <c r="B540" s="3" t="s">
        <v>500</v>
      </c>
      <c r="C540" s="3" t="s">
        <v>543</v>
      </c>
      <c r="D540" s="1" t="s">
        <v>501</v>
      </c>
      <c r="E540" s="1"/>
      <c r="F540" s="1"/>
      <c r="G540" s="1" t="s">
        <v>102</v>
      </c>
      <c r="H540" s="1" t="s">
        <v>110</v>
      </c>
      <c r="I540" s="1"/>
      <c r="J540" s="113">
        <f>Table4[[#This Row],[total_cost_npr]]*(1/'Calculations &amp; Assumptions'!$C$6)</f>
        <v>384421.70900692837</v>
      </c>
      <c r="K540" s="113">
        <f>Table4[[#This Row],[system_cost_npr_per_kwp]]*(1/'Calculations &amp; Assumptions'!$C$6)</f>
        <v>2745.8693500494883</v>
      </c>
      <c r="L540" s="23">
        <f>IF(Table4[[#This Row],[total_cost_inr]]&gt;0, Table4[[#This Row],[total_cost_inr]]*'Calculations &amp; Assumptions'!$C$7,IF(Table4[[#This Row],[total_cost_eur]]&gt;0,Table4[[#This Row],[total_cost_eur]]*'Calculations &amp; Assumptions'!$C$5,0))</f>
        <v>49936380</v>
      </c>
      <c r="M540" s="77">
        <f>IF(H540="smartmeter_1ph",Table4[[#This Row],[total_cost_npr]],Table4[[#This Row],[total_cost_npr]]/Table4[[#This Row],[pv_kWp]])</f>
        <v>356688.42857142858</v>
      </c>
      <c r="N540" s="1"/>
      <c r="O540" s="1">
        <f>Table4[[#This Row],[total_cost_inr]]/Table4[[#This Row],[pv_kWp]]</f>
        <v>0</v>
      </c>
      <c r="P540" s="1">
        <v>384126</v>
      </c>
      <c r="Q540" s="1"/>
      <c r="R540" s="1"/>
      <c r="S540" s="1"/>
      <c r="T540" s="1">
        <v>140</v>
      </c>
      <c r="U540" s="1"/>
      <c r="V540" s="1"/>
      <c r="W540" s="1"/>
      <c r="X540" s="1"/>
      <c r="Y540" s="1"/>
      <c r="Z540" s="1"/>
      <c r="AA540" s="1"/>
      <c r="AB540" s="1"/>
      <c r="AC540" s="1"/>
      <c r="AD540" s="1">
        <v>260</v>
      </c>
      <c r="AE540" s="1"/>
      <c r="AF540" s="1"/>
      <c r="AG540" s="1"/>
      <c r="AH540" s="6"/>
      <c r="AI540" s="1"/>
      <c r="AJ540" s="1"/>
      <c r="AK540" s="1"/>
      <c r="AL540" s="1"/>
      <c r="AM540" s="1"/>
      <c r="AN540" s="1"/>
      <c r="AO540" s="1"/>
      <c r="AP540" s="1"/>
      <c r="AQ540" s="1"/>
      <c r="AR540" s="1"/>
      <c r="AS540" s="1" t="s">
        <v>502</v>
      </c>
      <c r="AT540" s="1" t="s">
        <v>514</v>
      </c>
      <c r="AU540" s="1">
        <v>1</v>
      </c>
      <c r="AV540" s="1">
        <v>870</v>
      </c>
      <c r="AW540" s="1"/>
      <c r="AX540" s="1"/>
      <c r="AY540" s="1">
        <v>0</v>
      </c>
      <c r="AZ540" s="1"/>
      <c r="BA540" s="1"/>
      <c r="BB540" s="1">
        <v>384126</v>
      </c>
      <c r="BC540" s="1">
        <v>384126</v>
      </c>
      <c r="BD540" s="1"/>
      <c r="BE540" s="1">
        <v>140</v>
      </c>
      <c r="BF540" s="1">
        <v>260</v>
      </c>
      <c r="BG540" s="1"/>
      <c r="BH540" s="1"/>
      <c r="BI540" s="1"/>
      <c r="BJ540" s="1"/>
      <c r="BK540" s="1"/>
    </row>
    <row r="541" spans="1:63" ht="16" thickBot="1" x14ac:dyDescent="0.25">
      <c r="A541" s="3">
        <v>541</v>
      </c>
      <c r="B541" s="3" t="s">
        <v>500</v>
      </c>
      <c r="C541" s="3" t="s">
        <v>543</v>
      </c>
      <c r="D541" s="1" t="s">
        <v>501</v>
      </c>
      <c r="E541" s="1"/>
      <c r="F541" s="1"/>
      <c r="G541" s="1" t="s">
        <v>102</v>
      </c>
      <c r="H541" s="1" t="s">
        <v>110</v>
      </c>
      <c r="I541" s="1"/>
      <c r="J541" s="113">
        <f>Table4[[#This Row],[total_cost_npr]]*(1/'Calculations &amp; Assumptions'!$C$6)</f>
        <v>373287.14395688986</v>
      </c>
      <c r="K541" s="113">
        <f>Table4[[#This Row],[system_cost_npr_per_kwp]]*(1/'Calculations &amp; Assumptions'!$C$6)</f>
        <v>2666.3367425492133</v>
      </c>
      <c r="L541" s="23">
        <f>IF(Table4[[#This Row],[total_cost_inr]]&gt;0, Table4[[#This Row],[total_cost_inr]]*'Calculations &amp; Assumptions'!$C$7,IF(Table4[[#This Row],[total_cost_eur]]&gt;0,Table4[[#This Row],[total_cost_eur]]*'Calculations &amp; Assumptions'!$C$5,0))</f>
        <v>48490000</v>
      </c>
      <c r="M541" s="77">
        <f>IF(H541="smartmeter_1ph",Table4[[#This Row],[total_cost_npr]],Table4[[#This Row],[total_cost_npr]]/Table4[[#This Row],[pv_kWp]])</f>
        <v>346357.14285714284</v>
      </c>
      <c r="N541" s="1"/>
      <c r="O541" s="1">
        <f>Table4[[#This Row],[total_cost_inr]]/Table4[[#This Row],[pv_kWp]]</f>
        <v>0</v>
      </c>
      <c r="P541" s="1">
        <v>373000</v>
      </c>
      <c r="Q541" s="1"/>
      <c r="R541" s="1"/>
      <c r="S541" s="1"/>
      <c r="T541" s="1">
        <v>140</v>
      </c>
      <c r="U541" s="1"/>
      <c r="V541" s="1"/>
      <c r="W541" s="1"/>
      <c r="X541" s="1"/>
      <c r="Y541" s="1"/>
      <c r="Z541" s="1"/>
      <c r="AA541" s="1"/>
      <c r="AB541" s="1"/>
      <c r="AC541" s="1"/>
      <c r="AD541" s="1">
        <v>260</v>
      </c>
      <c r="AE541" s="1"/>
      <c r="AF541" s="1"/>
      <c r="AG541" s="1"/>
      <c r="AH541" s="6"/>
      <c r="AI541" s="1"/>
      <c r="AJ541" s="1"/>
      <c r="AK541" s="1"/>
      <c r="AL541" s="1"/>
      <c r="AM541" s="1"/>
      <c r="AN541" s="1"/>
      <c r="AO541" s="1"/>
      <c r="AP541" s="1"/>
      <c r="AQ541" s="1"/>
      <c r="AR541" s="1"/>
      <c r="AS541" s="1" t="s">
        <v>504</v>
      </c>
      <c r="AT541" s="1" t="s">
        <v>515</v>
      </c>
      <c r="AU541" s="1">
        <v>1</v>
      </c>
      <c r="AV541" s="1">
        <v>870</v>
      </c>
      <c r="AW541" s="1"/>
      <c r="AX541" s="1"/>
      <c r="AY541" s="1">
        <v>0</v>
      </c>
      <c r="AZ541" s="1"/>
      <c r="BA541" s="1"/>
      <c r="BB541" s="1">
        <v>373000</v>
      </c>
      <c r="BC541" s="1">
        <v>373000</v>
      </c>
      <c r="BD541" s="1"/>
      <c r="BE541" s="1">
        <v>140</v>
      </c>
      <c r="BF541" s="1">
        <v>260</v>
      </c>
      <c r="BG541" s="1"/>
      <c r="BH541" s="1"/>
      <c r="BI541" s="1"/>
      <c r="BJ541" s="1"/>
      <c r="BK541" s="1"/>
    </row>
    <row r="542" spans="1:63" ht="16" thickBot="1" x14ac:dyDescent="0.25">
      <c r="A542" s="3">
        <v>542</v>
      </c>
      <c r="B542" s="3" t="s">
        <v>500</v>
      </c>
      <c r="C542" s="3" t="s">
        <v>543</v>
      </c>
      <c r="D542" s="1" t="s">
        <v>501</v>
      </c>
      <c r="E542" s="1"/>
      <c r="F542" s="1"/>
      <c r="G542" s="1" t="s">
        <v>102</v>
      </c>
      <c r="H542" s="1" t="s">
        <v>110</v>
      </c>
      <c r="I542" s="1"/>
      <c r="J542" s="113">
        <f>Table4[[#This Row],[total_cost_npr]]*(1/'Calculations &amp; Assumptions'!$C$6)</f>
        <v>437336.41262509621</v>
      </c>
      <c r="K542" s="113">
        <f>Table4[[#This Row],[system_cost_npr_per_kwp]]*(1/'Calculations &amp; Assumptions'!$C$6)</f>
        <v>3123.8315187506869</v>
      </c>
      <c r="L542" s="23">
        <f>IF(Table4[[#This Row],[total_cost_inr]]&gt;0, Table4[[#This Row],[total_cost_inr]]*'Calculations &amp; Assumptions'!$C$7,IF(Table4[[#This Row],[total_cost_eur]]&gt;0,Table4[[#This Row],[total_cost_eur]]*'Calculations &amp; Assumptions'!$C$5,0))</f>
        <v>56810000</v>
      </c>
      <c r="M542" s="77">
        <f>IF(H542="smartmeter_1ph",Table4[[#This Row],[total_cost_npr]],Table4[[#This Row],[total_cost_npr]]/Table4[[#This Row],[pv_kWp]])</f>
        <v>405785.71428571426</v>
      </c>
      <c r="N542" s="1"/>
      <c r="O542" s="1">
        <f>Table4[[#This Row],[total_cost_inr]]/Table4[[#This Row],[pv_kWp]]</f>
        <v>0</v>
      </c>
      <c r="P542" s="1">
        <v>437000</v>
      </c>
      <c r="Q542" s="1"/>
      <c r="R542" s="1"/>
      <c r="S542" s="1"/>
      <c r="T542" s="1">
        <v>140</v>
      </c>
      <c r="U542" s="1"/>
      <c r="V542" s="1"/>
      <c r="W542" s="1"/>
      <c r="X542" s="1"/>
      <c r="Y542" s="1"/>
      <c r="Z542" s="1"/>
      <c r="AA542" s="1"/>
      <c r="AB542" s="1"/>
      <c r="AC542" s="1"/>
      <c r="AD542" s="1">
        <v>260</v>
      </c>
      <c r="AE542" s="1"/>
      <c r="AF542" s="1"/>
      <c r="AG542" s="1"/>
      <c r="AH542" s="6"/>
      <c r="AI542" s="1"/>
      <c r="AJ542" s="1"/>
      <c r="AK542" s="1"/>
      <c r="AL542" s="1"/>
      <c r="AM542" s="1"/>
      <c r="AN542" s="1"/>
      <c r="AO542" s="1"/>
      <c r="AP542" s="1"/>
      <c r="AQ542" s="1"/>
      <c r="AR542" s="1"/>
      <c r="AS542" s="1" t="s">
        <v>506</v>
      </c>
      <c r="AT542" s="1" t="s">
        <v>516</v>
      </c>
      <c r="AU542" s="1">
        <v>1</v>
      </c>
      <c r="AV542" s="1">
        <v>870</v>
      </c>
      <c r="AW542" s="1"/>
      <c r="AX542" s="1"/>
      <c r="AY542" s="1">
        <v>0</v>
      </c>
      <c r="AZ542" s="1"/>
      <c r="BA542" s="1"/>
      <c r="BB542" s="1">
        <v>437000</v>
      </c>
      <c r="BC542" s="1">
        <v>437000</v>
      </c>
      <c r="BD542" s="1"/>
      <c r="BE542" s="1">
        <v>140</v>
      </c>
      <c r="BF542" s="1">
        <v>260</v>
      </c>
      <c r="BG542" s="1"/>
      <c r="BH542" s="1"/>
      <c r="BI542" s="1"/>
      <c r="BJ542" s="1"/>
      <c r="BK542" s="1"/>
    </row>
    <row r="543" spans="1:63" ht="16" thickBot="1" x14ac:dyDescent="0.25">
      <c r="A543" s="3">
        <v>543</v>
      </c>
      <c r="B543" s="3" t="s">
        <v>500</v>
      </c>
      <c r="C543" s="3" t="s">
        <v>543</v>
      </c>
      <c r="D543" s="1" t="s">
        <v>501</v>
      </c>
      <c r="E543" s="1"/>
      <c r="F543" s="1"/>
      <c r="G543" s="1" t="s">
        <v>102</v>
      </c>
      <c r="H543" s="1" t="s">
        <v>110</v>
      </c>
      <c r="I543" s="1"/>
      <c r="J543" s="113">
        <f>Table4[[#This Row],[total_cost_npr]]*(1/'Calculations &amp; Assumptions'!$C$6)</f>
        <v>371962.12471131637</v>
      </c>
      <c r="K543" s="113">
        <f>Table4[[#This Row],[system_cost_npr_per_kwp]]*(1/'Calculations &amp; Assumptions'!$C$6)</f>
        <v>2479.7474980754423</v>
      </c>
      <c r="L543" s="23">
        <f>IF(Table4[[#This Row],[total_cost_inr]]&gt;0, Table4[[#This Row],[total_cost_inr]]*'Calculations &amp; Assumptions'!$C$7,IF(Table4[[#This Row],[total_cost_eur]]&gt;0,Table4[[#This Row],[total_cost_eur]]*'Calculations &amp; Assumptions'!$C$5,0))</f>
        <v>48317880</v>
      </c>
      <c r="M543" s="77">
        <f>IF(H543="smartmeter_1ph",Table4[[#This Row],[total_cost_npr]],Table4[[#This Row],[total_cost_npr]]/Table4[[#This Row],[pv_kWp]])</f>
        <v>322119.2</v>
      </c>
      <c r="N543" s="1"/>
      <c r="O543" s="1">
        <f>Table4[[#This Row],[total_cost_inr]]/Table4[[#This Row],[pv_kWp]]</f>
        <v>0</v>
      </c>
      <c r="P543" s="1">
        <v>371676</v>
      </c>
      <c r="Q543" s="1"/>
      <c r="R543" s="1"/>
      <c r="S543" s="1"/>
      <c r="T543" s="1">
        <v>150</v>
      </c>
      <c r="U543" s="1"/>
      <c r="V543" s="1"/>
      <c r="W543" s="1"/>
      <c r="X543" s="1"/>
      <c r="Y543" s="1"/>
      <c r="Z543" s="1"/>
      <c r="AA543" s="1"/>
      <c r="AB543" s="1"/>
      <c r="AC543" s="1"/>
      <c r="AD543" s="1">
        <v>260</v>
      </c>
      <c r="AE543" s="1"/>
      <c r="AF543" s="1"/>
      <c r="AG543" s="1"/>
      <c r="AH543" s="6"/>
      <c r="AI543" s="1"/>
      <c r="AJ543" s="1"/>
      <c r="AK543" s="1"/>
      <c r="AL543" s="1"/>
      <c r="AM543" s="1"/>
      <c r="AN543" s="1"/>
      <c r="AO543" s="1"/>
      <c r="AP543" s="1"/>
      <c r="AQ543" s="1"/>
      <c r="AR543" s="1"/>
      <c r="AS543" s="1" t="s">
        <v>502</v>
      </c>
      <c r="AT543" s="1" t="s">
        <v>517</v>
      </c>
      <c r="AU543" s="1">
        <v>1</v>
      </c>
      <c r="AV543" s="1">
        <v>730</v>
      </c>
      <c r="AW543" s="1"/>
      <c r="AX543" s="1"/>
      <c r="AY543" s="1">
        <v>0</v>
      </c>
      <c r="AZ543" s="1"/>
      <c r="BA543" s="1"/>
      <c r="BB543" s="1">
        <v>371676</v>
      </c>
      <c r="BC543" s="1">
        <v>371676</v>
      </c>
      <c r="BD543" s="1"/>
      <c r="BE543" s="1">
        <v>150</v>
      </c>
      <c r="BF543" s="1">
        <v>260</v>
      </c>
      <c r="BG543" s="1"/>
      <c r="BH543" s="1"/>
      <c r="BI543" s="1"/>
      <c r="BJ543" s="1"/>
      <c r="BK543" s="1"/>
    </row>
    <row r="544" spans="1:63" ht="16" thickBot="1" x14ac:dyDescent="0.25">
      <c r="A544" s="3">
        <v>544</v>
      </c>
      <c r="B544" s="3" t="s">
        <v>500</v>
      </c>
      <c r="C544" s="3" t="s">
        <v>543</v>
      </c>
      <c r="D544" s="1" t="s">
        <v>501</v>
      </c>
      <c r="E544" s="1"/>
      <c r="F544" s="1"/>
      <c r="G544" s="1" t="s">
        <v>102</v>
      </c>
      <c r="H544" s="1" t="s">
        <v>110</v>
      </c>
      <c r="I544" s="1"/>
      <c r="J544" s="113">
        <f>Table4[[#This Row],[total_cost_npr]]*(1/'Calculations &amp; Assumptions'!$C$6)</f>
        <v>373487.29792147805</v>
      </c>
      <c r="K544" s="113">
        <f>Table4[[#This Row],[system_cost_npr_per_kwp]]*(1/'Calculations &amp; Assumptions'!$C$6)</f>
        <v>2489.9153194765204</v>
      </c>
      <c r="L544" s="23">
        <f>IF(Table4[[#This Row],[total_cost_inr]]&gt;0, Table4[[#This Row],[total_cost_inr]]*'Calculations &amp; Assumptions'!$C$7,IF(Table4[[#This Row],[total_cost_eur]]&gt;0,Table4[[#This Row],[total_cost_eur]]*'Calculations &amp; Assumptions'!$C$5,0))</f>
        <v>48516000</v>
      </c>
      <c r="M544" s="77">
        <f>IF(H544="smartmeter_1ph",Table4[[#This Row],[total_cost_npr]],Table4[[#This Row],[total_cost_npr]]/Table4[[#This Row],[pv_kWp]])</f>
        <v>323440</v>
      </c>
      <c r="N544" s="1"/>
      <c r="O544" s="1">
        <f>Table4[[#This Row],[total_cost_inr]]/Table4[[#This Row],[pv_kWp]]</f>
        <v>0</v>
      </c>
      <c r="P544" s="1">
        <v>373200</v>
      </c>
      <c r="Q544" s="1"/>
      <c r="R544" s="1"/>
      <c r="S544" s="1"/>
      <c r="T544" s="1">
        <v>150</v>
      </c>
      <c r="U544" s="1"/>
      <c r="V544" s="1"/>
      <c r="W544" s="1"/>
      <c r="X544" s="1"/>
      <c r="Y544" s="1"/>
      <c r="Z544" s="1"/>
      <c r="AA544" s="1"/>
      <c r="AB544" s="1"/>
      <c r="AC544" s="1"/>
      <c r="AD544" s="1">
        <v>260</v>
      </c>
      <c r="AE544" s="1"/>
      <c r="AF544" s="1"/>
      <c r="AG544" s="1"/>
      <c r="AH544" s="6"/>
      <c r="AI544" s="1"/>
      <c r="AJ544" s="1"/>
      <c r="AK544" s="1"/>
      <c r="AL544" s="1"/>
      <c r="AM544" s="1"/>
      <c r="AN544" s="1"/>
      <c r="AO544" s="1"/>
      <c r="AP544" s="1"/>
      <c r="AQ544" s="1"/>
      <c r="AR544" s="1"/>
      <c r="AS544" s="1" t="s">
        <v>504</v>
      </c>
      <c r="AT544" s="1" t="s">
        <v>518</v>
      </c>
      <c r="AU544" s="1">
        <v>1</v>
      </c>
      <c r="AV544" s="1">
        <v>730</v>
      </c>
      <c r="AW544" s="1"/>
      <c r="AX544" s="1"/>
      <c r="AY544" s="1">
        <v>0</v>
      </c>
      <c r="AZ544" s="1"/>
      <c r="BA544" s="1"/>
      <c r="BB544" s="1">
        <v>373200</v>
      </c>
      <c r="BC544" s="1">
        <v>373200</v>
      </c>
      <c r="BD544" s="1"/>
      <c r="BE544" s="1">
        <v>150</v>
      </c>
      <c r="BF544" s="1">
        <v>260</v>
      </c>
      <c r="BG544" s="1"/>
      <c r="BH544" s="1"/>
      <c r="BI544" s="1"/>
      <c r="BJ544" s="1"/>
      <c r="BK544" s="1"/>
    </row>
    <row r="545" spans="1:63" ht="16" thickBot="1" x14ac:dyDescent="0.25">
      <c r="A545" s="3">
        <v>545</v>
      </c>
      <c r="B545" s="3" t="s">
        <v>500</v>
      </c>
      <c r="C545" s="3" t="s">
        <v>543</v>
      </c>
      <c r="D545" s="1" t="s">
        <v>501</v>
      </c>
      <c r="E545" s="1"/>
      <c r="F545" s="1"/>
      <c r="G545" s="1" t="s">
        <v>102</v>
      </c>
      <c r="H545" s="1" t="s">
        <v>110</v>
      </c>
      <c r="I545" s="1"/>
      <c r="J545" s="113">
        <f>Table4[[#This Row],[total_cost_npr]]*(1/'Calculations &amp; Assumptions'!$C$6)</f>
        <v>408068.89915319474</v>
      </c>
      <c r="K545" s="113">
        <f>Table4[[#This Row],[system_cost_npr_per_kwp]]*(1/'Calculations &amp; Assumptions'!$C$6)</f>
        <v>2720.459327687965</v>
      </c>
      <c r="L545" s="23">
        <f>IF(Table4[[#This Row],[total_cost_inr]]&gt;0, Table4[[#This Row],[total_cost_inr]]*'Calculations &amp; Assumptions'!$C$7,IF(Table4[[#This Row],[total_cost_eur]]&gt;0,Table4[[#This Row],[total_cost_eur]]*'Calculations &amp; Assumptions'!$C$5,0))</f>
        <v>53008150</v>
      </c>
      <c r="M545" s="77">
        <f>IF(H545="smartmeter_1ph",Table4[[#This Row],[total_cost_npr]],Table4[[#This Row],[total_cost_npr]]/Table4[[#This Row],[pv_kWp]])</f>
        <v>353387.66666666669</v>
      </c>
      <c r="N545" s="1"/>
      <c r="O545" s="1">
        <f>Table4[[#This Row],[total_cost_inr]]/Table4[[#This Row],[pv_kWp]]</f>
        <v>0</v>
      </c>
      <c r="P545" s="1">
        <v>407755</v>
      </c>
      <c r="Q545" s="1"/>
      <c r="R545" s="1"/>
      <c r="S545" s="1"/>
      <c r="T545" s="1">
        <v>150</v>
      </c>
      <c r="U545" s="1"/>
      <c r="V545" s="1"/>
      <c r="W545" s="1"/>
      <c r="X545" s="1"/>
      <c r="Y545" s="1"/>
      <c r="Z545" s="1"/>
      <c r="AA545" s="1"/>
      <c r="AB545" s="1"/>
      <c r="AC545" s="1"/>
      <c r="AD545" s="1">
        <v>260</v>
      </c>
      <c r="AE545" s="1"/>
      <c r="AF545" s="1"/>
      <c r="AG545" s="1"/>
      <c r="AH545" s="6"/>
      <c r="AI545" s="1"/>
      <c r="AJ545" s="1"/>
      <c r="AK545" s="1"/>
      <c r="AL545" s="1"/>
      <c r="AM545" s="1"/>
      <c r="AN545" s="1"/>
      <c r="AO545" s="1"/>
      <c r="AP545" s="1"/>
      <c r="AQ545" s="1"/>
      <c r="AR545" s="1"/>
      <c r="AS545" s="1" t="s">
        <v>506</v>
      </c>
      <c r="AT545" s="1" t="s">
        <v>519</v>
      </c>
      <c r="AU545" s="1">
        <v>1</v>
      </c>
      <c r="AV545" s="1">
        <v>730</v>
      </c>
      <c r="AW545" s="1"/>
      <c r="AX545" s="1"/>
      <c r="AY545" s="1">
        <v>0</v>
      </c>
      <c r="AZ545" s="1"/>
      <c r="BA545" s="1"/>
      <c r="BB545" s="1">
        <v>407755</v>
      </c>
      <c r="BC545" s="1">
        <v>407755</v>
      </c>
      <c r="BD545" s="1"/>
      <c r="BE545" s="1">
        <v>150</v>
      </c>
      <c r="BF545" s="1">
        <v>260</v>
      </c>
      <c r="BG545" s="1"/>
      <c r="BH545" s="1"/>
      <c r="BI545" s="1"/>
      <c r="BJ545" s="1"/>
      <c r="BK545" s="1"/>
    </row>
    <row r="546" spans="1:63" ht="16" thickBot="1" x14ac:dyDescent="0.25">
      <c r="A546" s="3">
        <v>546</v>
      </c>
      <c r="B546" s="3" t="s">
        <v>500</v>
      </c>
      <c r="C546" s="3" t="s">
        <v>543</v>
      </c>
      <c r="D546" s="1" t="s">
        <v>501</v>
      </c>
      <c r="E546" s="1"/>
      <c r="F546" s="1"/>
      <c r="G546" s="1" t="s">
        <v>102</v>
      </c>
      <c r="H546" s="1" t="s">
        <v>110</v>
      </c>
      <c r="I546" s="1"/>
      <c r="J546" s="113">
        <f>Table4[[#This Row],[total_cost_npr]]*(1/'Calculations &amp; Assumptions'!$C$6)</f>
        <v>373628.40646651265</v>
      </c>
      <c r="K546" s="113">
        <f>Table4[[#This Row],[system_cost_npr_per_kwp]]*(1/'Calculations &amp; Assumptions'!$C$6)</f>
        <v>2668.7743319036622</v>
      </c>
      <c r="L546" s="23">
        <f>IF(Table4[[#This Row],[total_cost_inr]]&gt;0, Table4[[#This Row],[total_cost_inr]]*'Calculations &amp; Assumptions'!$C$7,IF(Table4[[#This Row],[total_cost_eur]]&gt;0,Table4[[#This Row],[total_cost_eur]]*'Calculations &amp; Assumptions'!$C$5,0))</f>
        <v>48534330</v>
      </c>
      <c r="M546" s="77">
        <f>IF(H546="smartmeter_1ph",Table4[[#This Row],[total_cost_npr]],Table4[[#This Row],[total_cost_npr]]/Table4[[#This Row],[pv_kWp]])</f>
        <v>346673.78571428574</v>
      </c>
      <c r="N546" s="1"/>
      <c r="O546" s="1">
        <f>Table4[[#This Row],[total_cost_inr]]/Table4[[#This Row],[pv_kWp]]</f>
        <v>0</v>
      </c>
      <c r="P546" s="1">
        <v>373341</v>
      </c>
      <c r="Q546" s="1"/>
      <c r="R546" s="1"/>
      <c r="S546" s="1"/>
      <c r="T546" s="1">
        <v>140</v>
      </c>
      <c r="U546" s="1"/>
      <c r="V546" s="1"/>
      <c r="W546" s="1"/>
      <c r="X546" s="1"/>
      <c r="Y546" s="1"/>
      <c r="Z546" s="1"/>
      <c r="AA546" s="1"/>
      <c r="AB546" s="1"/>
      <c r="AC546" s="1"/>
      <c r="AD546" s="1">
        <v>280</v>
      </c>
      <c r="AE546" s="1"/>
      <c r="AF546" s="1"/>
      <c r="AG546" s="1"/>
      <c r="AH546" s="6"/>
      <c r="AI546" s="1"/>
      <c r="AJ546" s="1"/>
      <c r="AK546" s="1"/>
      <c r="AL546" s="1"/>
      <c r="AM546" s="1"/>
      <c r="AN546" s="1"/>
      <c r="AO546" s="1"/>
      <c r="AP546" s="1"/>
      <c r="AQ546" s="1"/>
      <c r="AR546" s="1"/>
      <c r="AS546" s="1" t="s">
        <v>502</v>
      </c>
      <c r="AT546" s="1" t="s">
        <v>520</v>
      </c>
      <c r="AU546" s="1">
        <v>1</v>
      </c>
      <c r="AV546" s="1">
        <v>870</v>
      </c>
      <c r="AW546" s="1"/>
      <c r="AX546" s="1"/>
      <c r="AY546" s="1">
        <v>0</v>
      </c>
      <c r="AZ546" s="1"/>
      <c r="BA546" s="1"/>
      <c r="BB546" s="1">
        <v>373341</v>
      </c>
      <c r="BC546" s="1">
        <v>373341</v>
      </c>
      <c r="BD546" s="1"/>
      <c r="BE546" s="1">
        <v>140</v>
      </c>
      <c r="BF546" s="1">
        <v>280</v>
      </c>
      <c r="BG546" s="1"/>
      <c r="BH546" s="1"/>
      <c r="BI546" s="1"/>
      <c r="BJ546" s="1"/>
      <c r="BK546" s="1"/>
    </row>
    <row r="547" spans="1:63" ht="16" thickBot="1" x14ac:dyDescent="0.25">
      <c r="A547" s="3">
        <v>547</v>
      </c>
      <c r="B547" s="3" t="s">
        <v>500</v>
      </c>
      <c r="C547" s="3" t="s">
        <v>543</v>
      </c>
      <c r="D547" s="1" t="s">
        <v>501</v>
      </c>
      <c r="E547" s="1"/>
      <c r="F547" s="1"/>
      <c r="G547" s="1" t="s">
        <v>102</v>
      </c>
      <c r="H547" s="1" t="s">
        <v>110</v>
      </c>
      <c r="I547" s="1"/>
      <c r="J547" s="113">
        <f>Table4[[#This Row],[total_cost_npr]]*(1/'Calculations &amp; Assumptions'!$C$6)</f>
        <v>380207.46728252497</v>
      </c>
      <c r="K547" s="113">
        <f>Table4[[#This Row],[system_cost_npr_per_kwp]]*(1/'Calculations &amp; Assumptions'!$C$6)</f>
        <v>2715.7676234466066</v>
      </c>
      <c r="L547" s="23">
        <f>IF(Table4[[#This Row],[total_cost_inr]]&gt;0, Table4[[#This Row],[total_cost_inr]]*'Calculations &amp; Assumptions'!$C$7,IF(Table4[[#This Row],[total_cost_eur]]&gt;0,Table4[[#This Row],[total_cost_eur]]*'Calculations &amp; Assumptions'!$C$5,0))</f>
        <v>49388950</v>
      </c>
      <c r="M547" s="77">
        <f>IF(H547="smartmeter_1ph",Table4[[#This Row],[total_cost_npr]],Table4[[#This Row],[total_cost_npr]]/Table4[[#This Row],[pv_kWp]])</f>
        <v>352778.21428571426</v>
      </c>
      <c r="N547" s="1"/>
      <c r="O547" s="1">
        <f>Table4[[#This Row],[total_cost_inr]]/Table4[[#This Row],[pv_kWp]]</f>
        <v>0</v>
      </c>
      <c r="P547" s="1">
        <v>379915</v>
      </c>
      <c r="Q547" s="1"/>
      <c r="R547" s="1"/>
      <c r="S547" s="1"/>
      <c r="T547" s="1">
        <v>140</v>
      </c>
      <c r="U547" s="1"/>
      <c r="V547" s="1"/>
      <c r="W547" s="1"/>
      <c r="X547" s="1"/>
      <c r="Y547" s="1"/>
      <c r="Z547" s="1"/>
      <c r="AA547" s="1"/>
      <c r="AB547" s="1"/>
      <c r="AC547" s="1"/>
      <c r="AD547" s="1">
        <v>280</v>
      </c>
      <c r="AE547" s="1"/>
      <c r="AF547" s="1"/>
      <c r="AG547" s="1"/>
      <c r="AH547" s="6"/>
      <c r="AI547" s="1"/>
      <c r="AJ547" s="1"/>
      <c r="AK547" s="1"/>
      <c r="AL547" s="1"/>
      <c r="AM547" s="1"/>
      <c r="AN547" s="1"/>
      <c r="AO547" s="1"/>
      <c r="AP547" s="1"/>
      <c r="AQ547" s="1"/>
      <c r="AR547" s="1"/>
      <c r="AS547" s="1" t="s">
        <v>504</v>
      </c>
      <c r="AT547" s="1" t="s">
        <v>521</v>
      </c>
      <c r="AU547" s="1">
        <v>1</v>
      </c>
      <c r="AV547" s="1">
        <v>870</v>
      </c>
      <c r="AW547" s="1"/>
      <c r="AX547" s="1"/>
      <c r="AY547" s="1">
        <v>0</v>
      </c>
      <c r="AZ547" s="1"/>
      <c r="BA547" s="1"/>
      <c r="BB547" s="1">
        <v>379915</v>
      </c>
      <c r="BC547" s="1">
        <v>379915</v>
      </c>
      <c r="BD547" s="1"/>
      <c r="BE547" s="1">
        <v>140</v>
      </c>
      <c r="BF547" s="1">
        <v>280</v>
      </c>
      <c r="BG547" s="1"/>
      <c r="BH547" s="1"/>
      <c r="BI547" s="1"/>
      <c r="BJ547" s="1"/>
      <c r="BK547" s="1"/>
    </row>
    <row r="548" spans="1:63" ht="16" thickBot="1" x14ac:dyDescent="0.25">
      <c r="A548" s="3">
        <v>548</v>
      </c>
      <c r="B548" s="3" t="s">
        <v>500</v>
      </c>
      <c r="C548" s="3" t="s">
        <v>543</v>
      </c>
      <c r="D548" s="1" t="s">
        <v>501</v>
      </c>
      <c r="E548" s="1"/>
      <c r="F548" s="1"/>
      <c r="G548" s="1" t="s">
        <v>102</v>
      </c>
      <c r="H548" s="1" t="s">
        <v>110</v>
      </c>
      <c r="I548" s="1"/>
      <c r="J548" s="113">
        <f>Table4[[#This Row],[total_cost_npr]]*(1/'Calculations &amp; Assumptions'!$C$6)</f>
        <v>438613.39491916855</v>
      </c>
      <c r="K548" s="113">
        <f>Table4[[#This Row],[system_cost_npr_per_kwp]]*(1/'Calculations &amp; Assumptions'!$C$6)</f>
        <v>3132.9528208512038</v>
      </c>
      <c r="L548" s="23">
        <f>IF(Table4[[#This Row],[total_cost_inr]]&gt;0, Table4[[#This Row],[total_cost_inr]]*'Calculations &amp; Assumptions'!$C$7,IF(Table4[[#This Row],[total_cost_eur]]&gt;0,Table4[[#This Row],[total_cost_eur]]*'Calculations &amp; Assumptions'!$C$5,0))</f>
        <v>56975880</v>
      </c>
      <c r="M548" s="77">
        <f>IF(H548="smartmeter_1ph",Table4[[#This Row],[total_cost_npr]],Table4[[#This Row],[total_cost_npr]]/Table4[[#This Row],[pv_kWp]])</f>
        <v>406970.57142857142</v>
      </c>
      <c r="N548" s="1"/>
      <c r="O548" s="1">
        <f>Table4[[#This Row],[total_cost_inr]]/Table4[[#This Row],[pv_kWp]]</f>
        <v>0</v>
      </c>
      <c r="P548" s="1">
        <v>438276</v>
      </c>
      <c r="Q548" s="1"/>
      <c r="R548" s="1"/>
      <c r="S548" s="1"/>
      <c r="T548" s="1">
        <v>140</v>
      </c>
      <c r="U548" s="1"/>
      <c r="V548" s="1"/>
      <c r="W548" s="1"/>
      <c r="X548" s="1"/>
      <c r="Y548" s="1"/>
      <c r="Z548" s="1"/>
      <c r="AA548" s="1"/>
      <c r="AB548" s="1"/>
      <c r="AC548" s="1"/>
      <c r="AD548" s="1">
        <v>280</v>
      </c>
      <c r="AE548" s="1"/>
      <c r="AF548" s="1"/>
      <c r="AG548" s="1"/>
      <c r="AH548" s="6"/>
      <c r="AI548" s="1"/>
      <c r="AJ548" s="1"/>
      <c r="AK548" s="1"/>
      <c r="AL548" s="1"/>
      <c r="AM548" s="1"/>
      <c r="AN548" s="1"/>
      <c r="AO548" s="1"/>
      <c r="AP548" s="1"/>
      <c r="AQ548" s="1"/>
      <c r="AR548" s="1"/>
      <c r="AS548" s="1" t="s">
        <v>506</v>
      </c>
      <c r="AT548" s="1" t="s">
        <v>522</v>
      </c>
      <c r="AU548" s="1">
        <v>1</v>
      </c>
      <c r="AV548" s="1">
        <v>870</v>
      </c>
      <c r="AW548" s="1"/>
      <c r="AX548" s="1"/>
      <c r="AY548" s="1">
        <v>0</v>
      </c>
      <c r="AZ548" s="1"/>
      <c r="BA548" s="1"/>
      <c r="BB548" s="1">
        <v>438276</v>
      </c>
      <c r="BC548" s="1">
        <v>438276</v>
      </c>
      <c r="BD548" s="1"/>
      <c r="BE548" s="1">
        <v>140</v>
      </c>
      <c r="BF548" s="1">
        <v>280</v>
      </c>
      <c r="BG548" s="1"/>
      <c r="BH548" s="1"/>
      <c r="BI548" s="1"/>
      <c r="BJ548" s="1"/>
      <c r="BK548" s="1"/>
    </row>
    <row r="549" spans="1:63" ht="16" thickBot="1" x14ac:dyDescent="0.25">
      <c r="A549" s="3">
        <v>549</v>
      </c>
      <c r="B549" s="3" t="s">
        <v>523</v>
      </c>
      <c r="C549" s="3" t="s">
        <v>543</v>
      </c>
      <c r="D549" s="1" t="s">
        <v>524</v>
      </c>
      <c r="E549" s="1"/>
      <c r="F549" s="1"/>
      <c r="G549" s="1" t="s">
        <v>102</v>
      </c>
      <c r="H549" s="1" t="s">
        <v>110</v>
      </c>
      <c r="I549" s="1"/>
      <c r="J549" s="113">
        <f>Table4[[#This Row],[total_cost_npr]]*(1/'Calculations &amp; Assumptions'!$C$6)</f>
        <v>142234.65169197193</v>
      </c>
      <c r="K549" s="113">
        <f>Table4[[#This Row],[system_cost_npr_per_kwp]]*(1/'Calculations &amp; Assumptions'!$C$6)</f>
        <v>4741.1550563990641</v>
      </c>
      <c r="L549" s="23">
        <f>IF(Table4[[#This Row],[total_cost_inr]]&gt;0, Table4[[#This Row],[total_cost_inr]]*'Calculations &amp; Assumptions'!$C$7,IF(Table4[[#This Row],[total_cost_eur]]&gt;0,Table4[[#This Row],[total_cost_eur]]*'Calculations &amp; Assumptions'!$C$5,0))</f>
        <v>18476281.254787154</v>
      </c>
      <c r="M549" s="77">
        <f>IF(H549="smartmeter_1ph",Table4[[#This Row],[total_cost_npr]],Table4[[#This Row],[total_cost_npr]]/Table4[[#This Row],[pv_kWp]])</f>
        <v>615876.04182623851</v>
      </c>
      <c r="N549" s="1"/>
      <c r="O549" s="1">
        <f>Table4[[#This Row],[total_cost_inr]]/Table4[[#This Row],[pv_kWp]]</f>
        <v>0</v>
      </c>
      <c r="P549" s="1">
        <v>142125.24042143964</v>
      </c>
      <c r="Q549" s="1"/>
      <c r="R549" s="1"/>
      <c r="S549" s="1"/>
      <c r="T549" s="1">
        <v>30</v>
      </c>
      <c r="U549" s="1"/>
      <c r="V549" s="1"/>
      <c r="W549" s="1"/>
      <c r="X549" s="1"/>
      <c r="Y549" s="1"/>
      <c r="Z549" s="1"/>
      <c r="AA549" s="1"/>
      <c r="AB549" s="1"/>
      <c r="AC549" s="1"/>
      <c r="AD549" s="1"/>
      <c r="AE549" s="1"/>
      <c r="AF549" s="1"/>
      <c r="AG549" s="1"/>
      <c r="AH549" s="6"/>
      <c r="AI549" s="1"/>
      <c r="AJ549" s="1"/>
      <c r="AK549" s="1"/>
      <c r="AL549" s="1"/>
      <c r="AM549" s="1"/>
      <c r="AN549" s="1"/>
      <c r="AO549" s="1"/>
      <c r="AP549" s="1"/>
      <c r="AQ549" s="1"/>
      <c r="AR549" s="1"/>
      <c r="AS549" s="1"/>
      <c r="AT549" s="1"/>
      <c r="AU549" s="1">
        <v>1</v>
      </c>
      <c r="AV549" s="1">
        <v>75</v>
      </c>
      <c r="AW549" s="1"/>
      <c r="AX549" s="1"/>
      <c r="AY549" s="1">
        <v>0</v>
      </c>
      <c r="AZ549" s="1"/>
      <c r="BA549" s="1"/>
      <c r="BB549" s="1">
        <v>142125.24042143964</v>
      </c>
      <c r="BC549" s="1">
        <v>142125.24042143964</v>
      </c>
      <c r="BD549" s="1"/>
      <c r="BE549" s="1">
        <v>30</v>
      </c>
      <c r="BF549" s="1"/>
      <c r="BG549" s="1"/>
      <c r="BH549" s="1"/>
      <c r="BI549" s="1"/>
      <c r="BJ549" s="1"/>
      <c r="BK549" s="1"/>
    </row>
    <row r="550" spans="1:63" ht="16" thickBot="1" x14ac:dyDescent="0.25">
      <c r="A550" s="3">
        <v>550</v>
      </c>
      <c r="B550" s="3" t="s">
        <v>523</v>
      </c>
      <c r="C550" s="3" t="s">
        <v>543</v>
      </c>
      <c r="D550" s="1" t="s">
        <v>524</v>
      </c>
      <c r="E550" s="1"/>
      <c r="F550" s="1"/>
      <c r="G550" s="1" t="s">
        <v>102</v>
      </c>
      <c r="H550" s="1" t="s">
        <v>110</v>
      </c>
      <c r="I550" s="1"/>
      <c r="J550" s="113">
        <f>Table4[[#This Row],[total_cost_npr]]*(1/'Calculations &amp; Assumptions'!$C$6)</f>
        <v>98725.943033102376</v>
      </c>
      <c r="K550" s="113">
        <f>Table4[[#This Row],[system_cost_npr_per_kwp]]*(1/'Calculations &amp; Assumptions'!$C$6)</f>
        <v>5641.4824590344224</v>
      </c>
      <c r="L550" s="23">
        <f>IF(Table4[[#This Row],[total_cost_inr]]&gt;0, Table4[[#This Row],[total_cost_inr]]*'Calculations &amp; Assumptions'!$C$7,IF(Table4[[#This Row],[total_cost_eur]]&gt;0,Table4[[#This Row],[total_cost_eur]]*'Calculations &amp; Assumptions'!$C$5,0))</f>
        <v>12824500</v>
      </c>
      <c r="M550" s="77">
        <f>IF(H550="smartmeter_1ph",Table4[[#This Row],[total_cost_npr]],Table4[[#This Row],[total_cost_npr]]/Table4[[#This Row],[pv_kWp]])</f>
        <v>732828.57142857148</v>
      </c>
      <c r="N550" s="1"/>
      <c r="O550" s="1">
        <f>Table4[[#This Row],[total_cost_inr]]/Table4[[#This Row],[pv_kWp]]</f>
        <v>0</v>
      </c>
      <c r="P550" s="1">
        <v>98650</v>
      </c>
      <c r="Q550" s="1"/>
      <c r="R550" s="1"/>
      <c r="S550" s="1"/>
      <c r="T550" s="1">
        <v>17.5</v>
      </c>
      <c r="U550" s="1"/>
      <c r="V550" s="1"/>
      <c r="W550" s="1"/>
      <c r="X550" s="1"/>
      <c r="Y550" s="1"/>
      <c r="Z550" s="1"/>
      <c r="AA550" s="1"/>
      <c r="AB550" s="1"/>
      <c r="AC550" s="1"/>
      <c r="AD550" s="1"/>
      <c r="AE550" s="1"/>
      <c r="AF550" s="1"/>
      <c r="AG550" s="1"/>
      <c r="AH550" s="6"/>
      <c r="AI550" s="1"/>
      <c r="AJ550" s="1"/>
      <c r="AK550" s="1"/>
      <c r="AL550" s="1"/>
      <c r="AM550" s="1"/>
      <c r="AN550" s="1"/>
      <c r="AO550" s="1"/>
      <c r="AP550" s="1"/>
      <c r="AQ550" s="1"/>
      <c r="AR550" s="1"/>
      <c r="AS550" s="1"/>
      <c r="AT550" s="1"/>
      <c r="AU550" s="1">
        <v>1</v>
      </c>
      <c r="AV550" s="1">
        <v>48</v>
      </c>
      <c r="AW550" s="1"/>
      <c r="AX550" s="1"/>
      <c r="AY550" s="1">
        <v>0</v>
      </c>
      <c r="AZ550" s="1"/>
      <c r="BA550" s="1"/>
      <c r="BB550" s="1">
        <v>98650</v>
      </c>
      <c r="BC550" s="1">
        <v>98650</v>
      </c>
      <c r="BD550" s="1"/>
      <c r="BE550" s="1">
        <v>17.5</v>
      </c>
      <c r="BF550" s="1"/>
      <c r="BG550" s="1"/>
      <c r="BH550" s="1"/>
      <c r="BI550" s="1"/>
      <c r="BJ550" s="1"/>
      <c r="BK550" s="1"/>
    </row>
    <row r="551" spans="1:63" ht="16" thickBot="1" x14ac:dyDescent="0.25">
      <c r="A551" s="3">
        <v>551</v>
      </c>
      <c r="B551" s="3" t="s">
        <v>523</v>
      </c>
      <c r="C551" s="3" t="s">
        <v>543</v>
      </c>
      <c r="D551" s="1" t="s">
        <v>524</v>
      </c>
      <c r="E551" s="1"/>
      <c r="F551" s="1"/>
      <c r="G551" s="1" t="s">
        <v>102</v>
      </c>
      <c r="H551" s="1" t="s">
        <v>110</v>
      </c>
      <c r="I551" s="1"/>
      <c r="J551" s="113">
        <f>Table4[[#This Row],[total_cost_npr]]*(1/'Calculations &amp; Assumptions'!$C$6)</f>
        <v>239183.98768283293</v>
      </c>
      <c r="K551" s="113">
        <f>Table4[[#This Row],[system_cost_npr_per_kwp]]*(1/'Calculations &amp; Assumptions'!$C$6)</f>
        <v>4599.6920708237103</v>
      </c>
      <c r="L551" s="23">
        <f>IF(Table4[[#This Row],[total_cost_inr]]&gt;0, Table4[[#This Row],[total_cost_inr]]*'Calculations &amp; Assumptions'!$C$7,IF(Table4[[#This Row],[total_cost_eur]]&gt;0,Table4[[#This Row],[total_cost_eur]]*'Calculations &amp; Assumptions'!$C$5,0))</f>
        <v>31070000</v>
      </c>
      <c r="M551" s="77">
        <f>IF(H551="smartmeter_1ph",Table4[[#This Row],[total_cost_npr]],Table4[[#This Row],[total_cost_npr]]/Table4[[#This Row],[pv_kWp]])</f>
        <v>597500</v>
      </c>
      <c r="N551" s="1"/>
      <c r="O551" s="1">
        <f>Table4[[#This Row],[total_cost_inr]]/Table4[[#This Row],[pv_kWp]]</f>
        <v>0</v>
      </c>
      <c r="P551" s="1">
        <v>239000</v>
      </c>
      <c r="Q551" s="1"/>
      <c r="R551" s="1"/>
      <c r="S551" s="1"/>
      <c r="T551" s="1">
        <v>52</v>
      </c>
      <c r="U551" s="1"/>
      <c r="V551" s="1"/>
      <c r="W551" s="1"/>
      <c r="X551" s="1"/>
      <c r="Y551" s="1"/>
      <c r="Z551" s="1"/>
      <c r="AA551" s="1"/>
      <c r="AB551" s="1"/>
      <c r="AC551" s="1"/>
      <c r="AD551" s="1"/>
      <c r="AE551" s="1"/>
      <c r="AF551" s="1"/>
      <c r="AG551" s="1"/>
      <c r="AH551" s="6"/>
      <c r="AI551" s="1"/>
      <c r="AJ551" s="1"/>
      <c r="AK551" s="1"/>
      <c r="AL551" s="1"/>
      <c r="AM551" s="1"/>
      <c r="AN551" s="1"/>
      <c r="AO551" s="1"/>
      <c r="AP551" s="1"/>
      <c r="AQ551" s="1"/>
      <c r="AR551" s="1"/>
      <c r="AS551" s="1"/>
      <c r="AT551" s="1"/>
      <c r="AU551" s="1">
        <v>1</v>
      </c>
      <c r="AV551" s="1">
        <v>83</v>
      </c>
      <c r="AW551" s="1"/>
      <c r="AX551" s="1"/>
      <c r="AY551" s="1">
        <v>0</v>
      </c>
      <c r="AZ551" s="1"/>
      <c r="BA551" s="1"/>
      <c r="BB551" s="1">
        <v>239000</v>
      </c>
      <c r="BC551" s="1">
        <v>239000</v>
      </c>
      <c r="BD551" s="1"/>
      <c r="BE551" s="1">
        <v>52</v>
      </c>
      <c r="BF551" s="1"/>
      <c r="BG551" s="1"/>
      <c r="BH551" s="1"/>
      <c r="BI551" s="1"/>
      <c r="BJ551" s="1"/>
      <c r="BK551" s="1"/>
    </row>
    <row r="552" spans="1:63" ht="16" thickBot="1" x14ac:dyDescent="0.25">
      <c r="A552" s="3">
        <v>552</v>
      </c>
      <c r="B552" s="3" t="s">
        <v>523</v>
      </c>
      <c r="C552" s="3" t="s">
        <v>543</v>
      </c>
      <c r="D552" s="1" t="s">
        <v>525</v>
      </c>
      <c r="E552" s="1"/>
      <c r="F552" s="1"/>
      <c r="G552" s="1" t="s">
        <v>102</v>
      </c>
      <c r="H552" s="1" t="s">
        <v>110</v>
      </c>
      <c r="I552" s="1"/>
      <c r="J552" s="113">
        <f>Table4[[#This Row],[total_cost_npr]]*(1/'Calculations &amp; Assumptions'!$C$6)</f>
        <v>551674.36489607382</v>
      </c>
      <c r="K552" s="113">
        <f>Table4[[#This Row],[system_cost_npr_per_kwp]]*(1/'Calculations &amp; Assumptions'!$C$6)</f>
        <v>6895.9295612009228</v>
      </c>
      <c r="L552" s="23">
        <f>IF(Table4[[#This Row],[total_cost_inr]]&gt;0, Table4[[#This Row],[total_cost_inr]]*'Calculations &amp; Assumptions'!$C$7,IF(Table4[[#This Row],[total_cost_eur]]&gt;0,Table4[[#This Row],[total_cost_eur]]*'Calculations &amp; Assumptions'!$C$5,0))</f>
        <v>71662500</v>
      </c>
      <c r="M552" s="77">
        <f>IF(H552="smartmeter_1ph",Table4[[#This Row],[total_cost_npr]],Table4[[#This Row],[total_cost_npr]]/Table4[[#This Row],[pv_kWp]])</f>
        <v>895781.25</v>
      </c>
      <c r="N552" s="1"/>
      <c r="O552" s="1">
        <f>Table4[[#This Row],[total_cost_inr]]/Table4[[#This Row],[pv_kWp]]</f>
        <v>0</v>
      </c>
      <c r="P552" s="1">
        <v>551250</v>
      </c>
      <c r="Q552" s="1"/>
      <c r="R552" s="1"/>
      <c r="S552" s="1"/>
      <c r="T552" s="1">
        <v>80</v>
      </c>
      <c r="U552" s="1"/>
      <c r="V552" s="1"/>
      <c r="W552" s="1"/>
      <c r="X552" s="1"/>
      <c r="Y552" s="1"/>
      <c r="Z552" s="1"/>
      <c r="AA552" s="1"/>
      <c r="AB552" s="1"/>
      <c r="AC552" s="1"/>
      <c r="AD552" s="1"/>
      <c r="AE552" s="1"/>
      <c r="AF552" s="1"/>
      <c r="AG552" s="1"/>
      <c r="AH552" s="6"/>
      <c r="AI552" s="1"/>
      <c r="AJ552" s="1"/>
      <c r="AK552" s="1"/>
      <c r="AL552" s="1"/>
      <c r="AM552" s="1"/>
      <c r="AN552" s="1"/>
      <c r="AO552" s="1"/>
      <c r="AP552" s="1"/>
      <c r="AQ552" s="1"/>
      <c r="AR552" s="1"/>
      <c r="AS552" s="1"/>
      <c r="AT552" s="1"/>
      <c r="AU552" s="1">
        <v>1</v>
      </c>
      <c r="AV552" s="1">
        <v>310</v>
      </c>
      <c r="AW552" s="1"/>
      <c r="AX552" s="1"/>
      <c r="AY552" s="1">
        <v>0</v>
      </c>
      <c r="AZ552" s="1"/>
      <c r="BA552" s="1"/>
      <c r="BB552" s="1">
        <v>551250</v>
      </c>
      <c r="BC552" s="1">
        <v>551250</v>
      </c>
      <c r="BD552" s="1"/>
      <c r="BE552" s="1">
        <v>80</v>
      </c>
      <c r="BF552" s="1"/>
      <c r="BG552" s="1"/>
      <c r="BH552" s="1"/>
      <c r="BI552" s="1"/>
      <c r="BJ552" s="1"/>
      <c r="BK552" s="1"/>
    </row>
    <row r="553" spans="1:63" ht="16" thickBot="1" x14ac:dyDescent="0.25">
      <c r="A553" s="3">
        <v>553</v>
      </c>
      <c r="B553" s="3" t="s">
        <v>523</v>
      </c>
      <c r="C553" s="3" t="s">
        <v>543</v>
      </c>
      <c r="D553" s="1" t="s">
        <v>526</v>
      </c>
      <c r="E553" s="1"/>
      <c r="F553" s="1"/>
      <c r="G553" s="1" t="s">
        <v>102</v>
      </c>
      <c r="H553" s="1" t="s">
        <v>110</v>
      </c>
      <c r="I553" s="1"/>
      <c r="J553" s="113">
        <f>Table4[[#This Row],[total_cost_npr]]*(1/'Calculations &amp; Assumptions'!$C$6)</f>
        <v>16332.563510392609</v>
      </c>
      <c r="K553" s="113">
        <f>Table4[[#This Row],[system_cost_npr_per_kwp]]*(1/'Calculations &amp; Assumptions'!$C$6)</f>
        <v>2041.5704387990761</v>
      </c>
      <c r="L553" s="23">
        <f>IF(Table4[[#This Row],[total_cost_inr]]&gt;0, Table4[[#This Row],[total_cost_inr]]*'Calculations &amp; Assumptions'!$C$7,IF(Table4[[#This Row],[total_cost_eur]]&gt;0,Table4[[#This Row],[total_cost_eur]]*'Calculations &amp; Assumptions'!$C$5,0))</f>
        <v>2121600</v>
      </c>
      <c r="M553" s="77">
        <f>IF(H553="smartmeter_1ph",Table4[[#This Row],[total_cost_npr]],Table4[[#This Row],[total_cost_npr]]/Table4[[#This Row],[pv_kWp]])</f>
        <v>265200</v>
      </c>
      <c r="N553" s="1"/>
      <c r="O553" s="1">
        <f>Table4[[#This Row],[total_cost_inr]]/Table4[[#This Row],[pv_kWp]]</f>
        <v>0</v>
      </c>
      <c r="P553" s="1">
        <v>16320</v>
      </c>
      <c r="Q553" s="1"/>
      <c r="R553" s="1"/>
      <c r="S553" s="1"/>
      <c r="T553" s="1">
        <v>8</v>
      </c>
      <c r="U553" s="1"/>
      <c r="V553" s="1"/>
      <c r="W553" s="1"/>
      <c r="X553" s="1"/>
      <c r="Y553" s="1"/>
      <c r="Z553" s="1"/>
      <c r="AA553" s="1"/>
      <c r="AB553" s="1"/>
      <c r="AC553" s="1"/>
      <c r="AD553" s="1"/>
      <c r="AE553" s="1"/>
      <c r="AF553" s="1"/>
      <c r="AG553" s="1"/>
      <c r="AH553" s="6"/>
      <c r="AI553" s="1"/>
      <c r="AJ553" s="1"/>
      <c r="AK553" s="1"/>
      <c r="AL553" s="1"/>
      <c r="AM553" s="1"/>
      <c r="AN553" s="1"/>
      <c r="AO553" s="1"/>
      <c r="AP553" s="1"/>
      <c r="AQ553" s="1"/>
      <c r="AR553" s="1"/>
      <c r="AS553" s="1"/>
      <c r="AT553" s="1"/>
      <c r="AU553" s="1">
        <v>1</v>
      </c>
      <c r="AV553" s="1">
        <v>64</v>
      </c>
      <c r="AW553" s="1"/>
      <c r="AX553" s="1"/>
      <c r="AY553" s="1">
        <v>0</v>
      </c>
      <c r="AZ553" s="1"/>
      <c r="BA553" s="1"/>
      <c r="BB553" s="1">
        <v>16320</v>
      </c>
      <c r="BC553" s="1">
        <v>16320</v>
      </c>
      <c r="BD553" s="1"/>
      <c r="BE553" s="1">
        <v>8</v>
      </c>
      <c r="BF553" s="1"/>
      <c r="BG553" s="1"/>
      <c r="BH553" s="1"/>
      <c r="BI553" s="1"/>
      <c r="BJ553" s="1"/>
      <c r="BK553" s="1"/>
    </row>
    <row r="554" spans="1:63" ht="16" thickBot="1" x14ac:dyDescent="0.25">
      <c r="A554" s="3">
        <v>554</v>
      </c>
      <c r="B554" s="3" t="s">
        <v>523</v>
      </c>
      <c r="C554" s="3" t="s">
        <v>543</v>
      </c>
      <c r="D554" s="1" t="s">
        <v>40</v>
      </c>
      <c r="E554" s="1"/>
      <c r="F554" s="1"/>
      <c r="G554" s="1" t="s">
        <v>102</v>
      </c>
      <c r="H554" s="1" t="s">
        <v>110</v>
      </c>
      <c r="I554" s="1"/>
      <c r="J554" s="113">
        <f>Table4[[#This Row],[total_cost_npr]]*(1/'Calculations &amp; Assumptions'!$C$6)</f>
        <v>125096.22786759044</v>
      </c>
      <c r="K554" s="113">
        <f>Table4[[#This Row],[system_cost_npr_per_kwp]]*(1/'Calculations &amp; Assumptions'!$C$6)</f>
        <v>5345.9926439141218</v>
      </c>
      <c r="L554" s="23">
        <f>IF(Table4[[#This Row],[total_cost_inr]]&gt;0, Table4[[#This Row],[total_cost_inr]]*'Calculations &amp; Assumptions'!$C$7,IF(Table4[[#This Row],[total_cost_eur]]&gt;0,Table4[[#This Row],[total_cost_eur]]*'Calculations &amp; Assumptions'!$C$5,0))</f>
        <v>16250000</v>
      </c>
      <c r="M554" s="77">
        <f>IF(H554="smartmeter_1ph",Table4[[#This Row],[total_cost_npr]],Table4[[#This Row],[total_cost_npr]]/Table4[[#This Row],[pv_kWp]])</f>
        <v>694444.4444444445</v>
      </c>
      <c r="N554" s="1"/>
      <c r="O554" s="1">
        <f>Table4[[#This Row],[total_cost_inr]]/Table4[[#This Row],[pv_kWp]]</f>
        <v>0</v>
      </c>
      <c r="P554" s="1">
        <v>125000</v>
      </c>
      <c r="Q554" s="1"/>
      <c r="R554" s="1"/>
      <c r="S554" s="1"/>
      <c r="T554" s="1">
        <v>23.4</v>
      </c>
      <c r="U554" s="1"/>
      <c r="V554" s="1"/>
      <c r="W554" s="1"/>
      <c r="X554" s="1"/>
      <c r="Y554" s="1"/>
      <c r="Z554" s="1"/>
      <c r="AA554" s="1"/>
      <c r="AB554" s="1"/>
      <c r="AC554" s="1"/>
      <c r="AD554" s="1"/>
      <c r="AE554" s="1"/>
      <c r="AF554" s="1"/>
      <c r="AG554" s="1"/>
      <c r="AH554" s="6"/>
      <c r="AI554" s="1"/>
      <c r="AJ554" s="1"/>
      <c r="AK554" s="1"/>
      <c r="AL554" s="1"/>
      <c r="AM554" s="1"/>
      <c r="AN554" s="1"/>
      <c r="AO554" s="1"/>
      <c r="AP554" s="1"/>
      <c r="AQ554" s="1"/>
      <c r="AR554" s="1"/>
      <c r="AS554" s="1"/>
      <c r="AT554" s="1"/>
      <c r="AU554" s="1">
        <v>1</v>
      </c>
      <c r="AV554" s="1">
        <v>124</v>
      </c>
      <c r="AW554" s="1"/>
      <c r="AX554" s="1"/>
      <c r="AY554" s="1">
        <v>0</v>
      </c>
      <c r="AZ554" s="1"/>
      <c r="BA554" s="1"/>
      <c r="BB554" s="1">
        <v>125000</v>
      </c>
      <c r="BC554" s="1">
        <v>125000</v>
      </c>
      <c r="BD554" s="1"/>
      <c r="BE554" s="1">
        <v>23.4</v>
      </c>
      <c r="BF554" s="1"/>
      <c r="BG554" s="1"/>
      <c r="BH554" s="1"/>
      <c r="BI554" s="1"/>
      <c r="BJ554" s="1"/>
      <c r="BK554" s="1"/>
    </row>
    <row r="555" spans="1:63" ht="16" thickBot="1" x14ac:dyDescent="0.25">
      <c r="A555" s="3">
        <v>555</v>
      </c>
      <c r="B555" s="3" t="s">
        <v>523</v>
      </c>
      <c r="C555" s="3" t="s">
        <v>543</v>
      </c>
      <c r="D555" s="1" t="s">
        <v>527</v>
      </c>
      <c r="E555" s="1"/>
      <c r="F555" s="1"/>
      <c r="G555" s="1" t="s">
        <v>102</v>
      </c>
      <c r="H555" s="1" t="s">
        <v>110</v>
      </c>
      <c r="I555" s="1"/>
      <c r="J555" s="113">
        <f>Table4[[#This Row],[total_cost_npr]]*(1/'Calculations &amp; Assumptions'!$C$6)</f>
        <v>250192.45573518088</v>
      </c>
      <c r="K555" s="113">
        <f>Table4[[#This Row],[system_cost_npr_per_kwp]]*(1/'Calculations &amp; Assumptions'!$C$6)</f>
        <v>4548.953740639653</v>
      </c>
      <c r="L555" s="23">
        <f>IF(Table4[[#This Row],[total_cost_inr]]&gt;0, Table4[[#This Row],[total_cost_inr]]*'Calculations &amp; Assumptions'!$C$7,IF(Table4[[#This Row],[total_cost_eur]]&gt;0,Table4[[#This Row],[total_cost_eur]]*'Calculations &amp; Assumptions'!$C$5,0))</f>
        <v>32500000</v>
      </c>
      <c r="M555" s="77">
        <f>IF(H555="smartmeter_1ph",Table4[[#This Row],[total_cost_npr]],Table4[[#This Row],[total_cost_npr]]/Table4[[#This Row],[pv_kWp]])</f>
        <v>590909.09090909094</v>
      </c>
      <c r="N555" s="1"/>
      <c r="O555" s="1">
        <f>Table4[[#This Row],[total_cost_inr]]/Table4[[#This Row],[pv_kWp]]</f>
        <v>0</v>
      </c>
      <c r="P555" s="1">
        <v>250000</v>
      </c>
      <c r="Q555" s="1"/>
      <c r="R555" s="1"/>
      <c r="S555" s="1"/>
      <c r="T555" s="1">
        <v>55</v>
      </c>
      <c r="U555" s="1"/>
      <c r="V555" s="1"/>
      <c r="W555" s="1"/>
      <c r="X555" s="1"/>
      <c r="Y555" s="1"/>
      <c r="Z555" s="1"/>
      <c r="AA555" s="1"/>
      <c r="AB555" s="1"/>
      <c r="AC555" s="1"/>
      <c r="AD555" s="1"/>
      <c r="AE555" s="1"/>
      <c r="AF555" s="1"/>
      <c r="AG555" s="1"/>
      <c r="AH555" s="6"/>
      <c r="AI555" s="1"/>
      <c r="AJ555" s="1"/>
      <c r="AK555" s="1"/>
      <c r="AL555" s="1"/>
      <c r="AM555" s="1"/>
      <c r="AN555" s="1"/>
      <c r="AO555" s="1"/>
      <c r="AP555" s="1"/>
      <c r="AQ555" s="1"/>
      <c r="AR555" s="1"/>
      <c r="AS555" s="1"/>
      <c r="AT555" s="1"/>
      <c r="AU555" s="1">
        <v>1</v>
      </c>
      <c r="AV555" s="1">
        <v>126</v>
      </c>
      <c r="AW555" s="1"/>
      <c r="AX555" s="1"/>
      <c r="AY555" s="1">
        <v>0</v>
      </c>
      <c r="AZ555" s="1"/>
      <c r="BA555" s="1"/>
      <c r="BB555" s="1">
        <v>250000</v>
      </c>
      <c r="BC555" s="1">
        <v>250000</v>
      </c>
      <c r="BD555" s="1"/>
      <c r="BE555" s="1">
        <v>55</v>
      </c>
      <c r="BF555" s="1"/>
      <c r="BG555" s="1"/>
      <c r="BH555" s="1"/>
      <c r="BI555" s="1"/>
      <c r="BJ555" s="1"/>
      <c r="BK555" s="1"/>
    </row>
    <row r="556" spans="1:63" ht="30" thickBot="1" x14ac:dyDescent="0.25">
      <c r="A556" s="3">
        <v>556</v>
      </c>
      <c r="B556" s="3" t="s">
        <v>528</v>
      </c>
      <c r="C556" s="3" t="s">
        <v>543</v>
      </c>
      <c r="D556" s="1" t="s">
        <v>527</v>
      </c>
      <c r="E556" s="1"/>
      <c r="F556" s="1"/>
      <c r="G556" s="1" t="s">
        <v>102</v>
      </c>
      <c r="H556" s="1" t="s">
        <v>110</v>
      </c>
      <c r="I556" s="1"/>
      <c r="J556" s="113">
        <f>Table4[[#This Row],[total_cost_npr]]*(1/'Calculations &amp; Assumptions'!$C$6)</f>
        <v>0</v>
      </c>
      <c r="K556" s="113">
        <f>Table4[[#This Row],[system_cost_npr_per_kwp]]*(1/'Calculations &amp; Assumptions'!$C$6)</f>
        <v>0</v>
      </c>
      <c r="L556" s="23">
        <f>IF(Table4[[#This Row],[total_cost_inr]]&gt;0, Table4[[#This Row],[total_cost_inr]]*'Calculations &amp; Assumptions'!$C$7,IF(Table4[[#This Row],[total_cost_eur]]&gt;0,Table4[[#This Row],[total_cost_eur]]*'Calculations &amp; Assumptions'!$C$5,0))</f>
        <v>0</v>
      </c>
      <c r="M556" s="77"/>
      <c r="N556" s="1"/>
      <c r="O556" s="1"/>
      <c r="P556" s="1"/>
      <c r="Q556" s="1"/>
      <c r="R556" s="1"/>
      <c r="S556" s="1"/>
      <c r="T556" s="1"/>
      <c r="U556" s="1"/>
      <c r="V556" s="1"/>
      <c r="W556" s="1"/>
      <c r="X556" s="1"/>
      <c r="Y556" s="1"/>
      <c r="Z556" s="1"/>
      <c r="AA556" s="1"/>
      <c r="AB556" s="1"/>
      <c r="AC556" s="1"/>
      <c r="AD556" s="1"/>
      <c r="AE556" s="1"/>
      <c r="AF556" s="1"/>
      <c r="AG556" s="1"/>
      <c r="AH556" s="6"/>
      <c r="AI556" s="1"/>
      <c r="AJ556" s="1"/>
      <c r="AK556" s="1"/>
      <c r="AL556" s="1"/>
      <c r="AM556" s="1"/>
      <c r="AN556" s="1"/>
      <c r="AO556" s="1"/>
      <c r="AP556" s="1"/>
      <c r="AQ556" s="1"/>
      <c r="AR556" s="1"/>
      <c r="AS556" s="1"/>
      <c r="AT556" s="1" t="s">
        <v>529</v>
      </c>
      <c r="AU556" s="1"/>
      <c r="AV556" s="1">
        <v>189</v>
      </c>
      <c r="AW556" s="1"/>
      <c r="AX556" s="1">
        <v>16340</v>
      </c>
      <c r="AY556" s="1">
        <v>41704</v>
      </c>
      <c r="AZ556" s="1"/>
      <c r="BA556" s="1">
        <v>1.59</v>
      </c>
      <c r="BB556" s="1"/>
      <c r="BC556" s="1"/>
      <c r="BD556" s="1"/>
      <c r="BE556" s="1"/>
      <c r="BF556" s="1"/>
      <c r="BG556" s="1"/>
      <c r="BH556" s="1"/>
      <c r="BI556" s="1"/>
      <c r="BJ556" s="1">
        <v>26228.93081761006</v>
      </c>
      <c r="BK556" s="1"/>
    </row>
    <row r="557" spans="1:63" ht="30" thickBot="1" x14ac:dyDescent="0.25">
      <c r="A557" s="3">
        <v>557</v>
      </c>
      <c r="B557" s="3" t="s">
        <v>528</v>
      </c>
      <c r="C557" s="3" t="s">
        <v>543</v>
      </c>
      <c r="D557" s="1" t="s">
        <v>527</v>
      </c>
      <c r="E557" s="1"/>
      <c r="F557" s="1"/>
      <c r="G557" s="1" t="s">
        <v>102</v>
      </c>
      <c r="H557" s="1" t="s">
        <v>110</v>
      </c>
      <c r="I557" s="1"/>
      <c r="J557" s="113">
        <f>Table4[[#This Row],[total_cost_npr]]*(1/'Calculations &amp; Assumptions'!$C$6)</f>
        <v>0</v>
      </c>
      <c r="K557" s="113">
        <f>Table4[[#This Row],[system_cost_npr_per_kwp]]*(1/'Calculations &amp; Assumptions'!$C$6)</f>
        <v>0</v>
      </c>
      <c r="L557" s="23">
        <f>IF(Table4[[#This Row],[total_cost_inr]]&gt;0, Table4[[#This Row],[total_cost_inr]]*'Calculations &amp; Assumptions'!$C$7,IF(Table4[[#This Row],[total_cost_eur]]&gt;0,Table4[[#This Row],[total_cost_eur]]*'Calculations &amp; Assumptions'!$C$5,0))</f>
        <v>0</v>
      </c>
      <c r="M557" s="77"/>
      <c r="N557" s="1"/>
      <c r="O557" s="1"/>
      <c r="P557" s="1"/>
      <c r="Q557" s="1"/>
      <c r="R557" s="1"/>
      <c r="S557" s="1"/>
      <c r="T557" s="1"/>
      <c r="U557" s="1"/>
      <c r="V557" s="1"/>
      <c r="W557" s="1"/>
      <c r="X557" s="1"/>
      <c r="Y557" s="1"/>
      <c r="Z557" s="1"/>
      <c r="AA557" s="1"/>
      <c r="AB557" s="1"/>
      <c r="AC557" s="1"/>
      <c r="AD557" s="1"/>
      <c r="AE557" s="1"/>
      <c r="AF557" s="1"/>
      <c r="AG557" s="1"/>
      <c r="AH557" s="6"/>
      <c r="AI557" s="1"/>
      <c r="AJ557" s="1"/>
      <c r="AK557" s="1"/>
      <c r="AL557" s="1"/>
      <c r="AM557" s="1"/>
      <c r="AN557" s="1"/>
      <c r="AO557" s="1"/>
      <c r="AP557" s="1"/>
      <c r="AQ557" s="1"/>
      <c r="AR557" s="1"/>
      <c r="AS557" s="1"/>
      <c r="AT557" s="1" t="s">
        <v>530</v>
      </c>
      <c r="AU557" s="1"/>
      <c r="AV557" s="1">
        <v>189</v>
      </c>
      <c r="AW557" s="1"/>
      <c r="AX557" s="1">
        <v>16340</v>
      </c>
      <c r="AY557" s="1">
        <v>44630</v>
      </c>
      <c r="AZ557" s="1"/>
      <c r="BA557" s="1">
        <v>1.74</v>
      </c>
      <c r="BB557" s="1"/>
      <c r="BC557" s="1"/>
      <c r="BD557" s="1"/>
      <c r="BE557" s="1"/>
      <c r="BF557" s="1"/>
      <c r="BG557" s="1"/>
      <c r="BH557" s="1"/>
      <c r="BI557" s="1"/>
      <c r="BJ557" s="1">
        <v>25649.425287356324</v>
      </c>
      <c r="BK557" s="1"/>
    </row>
    <row r="558" spans="1:63" ht="30" thickBot="1" x14ac:dyDescent="0.25">
      <c r="A558" s="3">
        <v>558</v>
      </c>
      <c r="B558" s="3" t="s">
        <v>528</v>
      </c>
      <c r="C558" s="3" t="s">
        <v>543</v>
      </c>
      <c r="D558" s="1" t="s">
        <v>527</v>
      </c>
      <c r="E558" s="1"/>
      <c r="F558" s="1"/>
      <c r="G558" s="1" t="s">
        <v>102</v>
      </c>
      <c r="H558" s="1" t="s">
        <v>110</v>
      </c>
      <c r="I558" s="1"/>
      <c r="J558" s="113">
        <f>Table4[[#This Row],[total_cost_npr]]*(1/'Calculations &amp; Assumptions'!$C$6)</f>
        <v>0</v>
      </c>
      <c r="K558" s="113">
        <f>Table4[[#This Row],[system_cost_npr_per_kwp]]*(1/'Calculations &amp; Assumptions'!$C$6)</f>
        <v>0</v>
      </c>
      <c r="L558" s="23">
        <f>IF(Table4[[#This Row],[total_cost_inr]]&gt;0, Table4[[#This Row],[total_cost_inr]]*'Calculations &amp; Assumptions'!$C$7,IF(Table4[[#This Row],[total_cost_eur]]&gt;0,Table4[[#This Row],[total_cost_eur]]*'Calculations &amp; Assumptions'!$C$5,0))</f>
        <v>0</v>
      </c>
      <c r="M558" s="77"/>
      <c r="N558" s="1"/>
      <c r="O558" s="1"/>
      <c r="P558" s="1"/>
      <c r="Q558" s="1"/>
      <c r="R558" s="1"/>
      <c r="S558" s="1"/>
      <c r="T558" s="1"/>
      <c r="U558" s="1"/>
      <c r="V558" s="1"/>
      <c r="W558" s="1"/>
      <c r="X558" s="1"/>
      <c r="Y558" s="1"/>
      <c r="Z558" s="1"/>
      <c r="AA558" s="1"/>
      <c r="AB558" s="1"/>
      <c r="AC558" s="1"/>
      <c r="AD558" s="1"/>
      <c r="AE558" s="1"/>
      <c r="AF558" s="1"/>
      <c r="AG558" s="1"/>
      <c r="AH558" s="6"/>
      <c r="AI558" s="1"/>
      <c r="AJ558" s="1"/>
      <c r="AK558" s="1"/>
      <c r="AL558" s="1"/>
      <c r="AM558" s="1"/>
      <c r="AN558" s="1"/>
      <c r="AO558" s="1"/>
      <c r="AP558" s="1"/>
      <c r="AQ558" s="1"/>
      <c r="AR558" s="1"/>
      <c r="AS558" s="1"/>
      <c r="AT558" s="1" t="s">
        <v>531</v>
      </c>
      <c r="AU558" s="1"/>
      <c r="AV558" s="1">
        <v>189</v>
      </c>
      <c r="AW558" s="1"/>
      <c r="AX558" s="1">
        <v>14540</v>
      </c>
      <c r="AY558" s="1">
        <v>43340</v>
      </c>
      <c r="AZ558" s="1"/>
      <c r="BA558" s="1">
        <v>1.95</v>
      </c>
      <c r="BB558" s="1"/>
      <c r="BC558" s="1"/>
      <c r="BD558" s="1"/>
      <c r="BE558" s="1"/>
      <c r="BF558" s="1"/>
      <c r="BG558" s="1"/>
      <c r="BH558" s="1"/>
      <c r="BI558" s="1"/>
      <c r="BJ558" s="1">
        <v>22225.641025641027</v>
      </c>
      <c r="BK558" s="1"/>
    </row>
    <row r="559" spans="1:63" ht="30" thickBot="1" x14ac:dyDescent="0.25">
      <c r="A559" s="3">
        <v>559</v>
      </c>
      <c r="B559" s="3" t="s">
        <v>528</v>
      </c>
      <c r="C559" s="3" t="s">
        <v>543</v>
      </c>
      <c r="D559" s="1" t="s">
        <v>527</v>
      </c>
      <c r="E559" s="1"/>
      <c r="F559" s="1"/>
      <c r="G559" s="1" t="s">
        <v>102</v>
      </c>
      <c r="H559" s="1" t="s">
        <v>110</v>
      </c>
      <c r="I559" s="1"/>
      <c r="J559" s="113">
        <f>Table4[[#This Row],[total_cost_npr]]*(1/'Calculations &amp; Assumptions'!$C$6)</f>
        <v>0</v>
      </c>
      <c r="K559" s="113">
        <f>Table4[[#This Row],[system_cost_npr_per_kwp]]*(1/'Calculations &amp; Assumptions'!$C$6)</f>
        <v>0</v>
      </c>
      <c r="L559" s="23">
        <f>IF(Table4[[#This Row],[total_cost_inr]]&gt;0, Table4[[#This Row],[total_cost_inr]]*'Calculations &amp; Assumptions'!$C$7,IF(Table4[[#This Row],[total_cost_eur]]&gt;0,Table4[[#This Row],[total_cost_eur]]*'Calculations &amp; Assumptions'!$C$5,0))</f>
        <v>0</v>
      </c>
      <c r="M559" s="77"/>
      <c r="N559" s="1"/>
      <c r="O559" s="1"/>
      <c r="P559" s="1"/>
      <c r="Q559" s="1"/>
      <c r="R559" s="1"/>
      <c r="S559" s="1"/>
      <c r="T559" s="1"/>
      <c r="U559" s="1"/>
      <c r="V559" s="1"/>
      <c r="W559" s="1"/>
      <c r="X559" s="1"/>
      <c r="Y559" s="1"/>
      <c r="Z559" s="1"/>
      <c r="AA559" s="1"/>
      <c r="AB559" s="1"/>
      <c r="AC559" s="1"/>
      <c r="AD559" s="1"/>
      <c r="AE559" s="1"/>
      <c r="AF559" s="1"/>
      <c r="AG559" s="1"/>
      <c r="AH559" s="6"/>
      <c r="AI559" s="1"/>
      <c r="AJ559" s="1"/>
      <c r="AK559" s="1"/>
      <c r="AL559" s="1"/>
      <c r="AM559" s="1"/>
      <c r="AN559" s="1"/>
      <c r="AO559" s="1"/>
      <c r="AP559" s="1"/>
      <c r="AQ559" s="1"/>
      <c r="AR559" s="1"/>
      <c r="AS559" s="1"/>
      <c r="AT559" s="1" t="s">
        <v>532</v>
      </c>
      <c r="AU559" s="1"/>
      <c r="AV559" s="1">
        <v>189</v>
      </c>
      <c r="AW559" s="1"/>
      <c r="AX559" s="1">
        <v>16340</v>
      </c>
      <c r="AY559" s="1">
        <v>31926</v>
      </c>
      <c r="AZ559" s="1"/>
      <c r="BA559" s="1">
        <v>0.95</v>
      </c>
      <c r="BB559" s="1"/>
      <c r="BC559" s="1"/>
      <c r="BD559" s="1"/>
      <c r="BE559" s="1"/>
      <c r="BF559" s="1"/>
      <c r="BG559" s="1"/>
      <c r="BH559" s="1"/>
      <c r="BI559" s="1"/>
      <c r="BJ559" s="1">
        <v>33606.315789473687</v>
      </c>
      <c r="BK559" s="1"/>
    </row>
    <row r="560" spans="1:63" ht="30" thickBot="1" x14ac:dyDescent="0.25">
      <c r="A560" s="3">
        <v>560</v>
      </c>
      <c r="B560" s="3" t="s">
        <v>528</v>
      </c>
      <c r="C560" s="3" t="s">
        <v>543</v>
      </c>
      <c r="D560" s="1" t="s">
        <v>527</v>
      </c>
      <c r="E560" s="1"/>
      <c r="F560" s="1"/>
      <c r="G560" s="1" t="s">
        <v>102</v>
      </c>
      <c r="H560" s="1" t="s">
        <v>110</v>
      </c>
      <c r="I560" s="1"/>
      <c r="J560" s="113">
        <f>Table4[[#This Row],[total_cost_npr]]*(1/'Calculations &amp; Assumptions'!$C$6)</f>
        <v>0</v>
      </c>
      <c r="K560" s="113">
        <f>Table4[[#This Row],[system_cost_npr_per_kwp]]*(1/'Calculations &amp; Assumptions'!$C$6)</f>
        <v>0</v>
      </c>
      <c r="L560" s="23">
        <f>IF(Table4[[#This Row],[total_cost_inr]]&gt;0, Table4[[#This Row],[total_cost_inr]]*'Calculations &amp; Assumptions'!$C$7,IF(Table4[[#This Row],[total_cost_eur]]&gt;0,Table4[[#This Row],[total_cost_eur]]*'Calculations &amp; Assumptions'!$C$5,0))</f>
        <v>0</v>
      </c>
      <c r="M560" s="77"/>
      <c r="N560" s="1"/>
      <c r="O560" s="1"/>
      <c r="P560" s="1"/>
      <c r="Q560" s="1"/>
      <c r="R560" s="1"/>
      <c r="S560" s="1"/>
      <c r="T560" s="1"/>
      <c r="U560" s="1"/>
      <c r="V560" s="1"/>
      <c r="W560" s="1"/>
      <c r="X560" s="1"/>
      <c r="Y560" s="1"/>
      <c r="Z560" s="1"/>
      <c r="AA560" s="1"/>
      <c r="AB560" s="1"/>
      <c r="AC560" s="1"/>
      <c r="AD560" s="1"/>
      <c r="AE560" s="1"/>
      <c r="AF560" s="1"/>
      <c r="AG560" s="1"/>
      <c r="AH560" s="6"/>
      <c r="AI560" s="1"/>
      <c r="AJ560" s="1"/>
      <c r="AK560" s="1"/>
      <c r="AL560" s="1"/>
      <c r="AM560" s="1"/>
      <c r="AN560" s="1"/>
      <c r="AO560" s="1"/>
      <c r="AP560" s="1"/>
      <c r="AQ560" s="1"/>
      <c r="AR560" s="1"/>
      <c r="AS560" s="1"/>
      <c r="AT560" s="1" t="s">
        <v>533</v>
      </c>
      <c r="AU560" s="1"/>
      <c r="AV560" s="1">
        <v>332</v>
      </c>
      <c r="AW560" s="1"/>
      <c r="AX560" s="1">
        <v>29600</v>
      </c>
      <c r="AY560" s="1">
        <v>114680</v>
      </c>
      <c r="AZ560" s="1"/>
      <c r="BA560" s="1">
        <v>5.99</v>
      </c>
      <c r="BB560" s="1"/>
      <c r="BC560" s="1"/>
      <c r="BD560" s="1"/>
      <c r="BE560" s="1"/>
      <c r="BF560" s="1"/>
      <c r="BG560" s="1"/>
      <c r="BH560" s="1"/>
      <c r="BI560" s="1"/>
      <c r="BJ560" s="1">
        <v>19145.242070116859</v>
      </c>
      <c r="BK560" s="1"/>
    </row>
    <row r="561" spans="1:63" ht="30" thickBot="1" x14ac:dyDescent="0.25">
      <c r="A561" s="3">
        <v>561</v>
      </c>
      <c r="B561" s="3" t="s">
        <v>528</v>
      </c>
      <c r="C561" s="3" t="s">
        <v>543</v>
      </c>
      <c r="D561" s="1" t="s">
        <v>527</v>
      </c>
      <c r="E561" s="1"/>
      <c r="F561" s="1"/>
      <c r="G561" s="1" t="s">
        <v>102</v>
      </c>
      <c r="H561" s="1" t="s">
        <v>110</v>
      </c>
      <c r="I561" s="1"/>
      <c r="J561" s="113">
        <f>Table4[[#This Row],[total_cost_npr]]*(1/'Calculations &amp; Assumptions'!$C$6)</f>
        <v>0</v>
      </c>
      <c r="K561" s="113">
        <f>Table4[[#This Row],[system_cost_npr_per_kwp]]*(1/'Calculations &amp; Assumptions'!$C$6)</f>
        <v>0</v>
      </c>
      <c r="L561" s="23">
        <f>IF(Table4[[#This Row],[total_cost_inr]]&gt;0, Table4[[#This Row],[total_cost_inr]]*'Calculations &amp; Assumptions'!$C$7,IF(Table4[[#This Row],[total_cost_eur]]&gt;0,Table4[[#This Row],[total_cost_eur]]*'Calculations &amp; Assumptions'!$C$5,0))</f>
        <v>0</v>
      </c>
      <c r="M561" s="77"/>
      <c r="N561" s="1"/>
      <c r="O561" s="1"/>
      <c r="P561" s="1"/>
      <c r="Q561" s="1"/>
      <c r="R561" s="1"/>
      <c r="S561" s="1"/>
      <c r="T561" s="1"/>
      <c r="U561" s="1"/>
      <c r="V561" s="1"/>
      <c r="W561" s="1"/>
      <c r="X561" s="1"/>
      <c r="Y561" s="1"/>
      <c r="Z561" s="1"/>
      <c r="AA561" s="1"/>
      <c r="AB561" s="1"/>
      <c r="AC561" s="1"/>
      <c r="AD561" s="1"/>
      <c r="AE561" s="1"/>
      <c r="AF561" s="1"/>
      <c r="AG561" s="1"/>
      <c r="AH561" s="6"/>
      <c r="AI561" s="1"/>
      <c r="AJ561" s="1"/>
      <c r="AK561" s="1"/>
      <c r="AL561" s="1"/>
      <c r="AM561" s="1"/>
      <c r="AN561" s="1"/>
      <c r="AO561" s="1"/>
      <c r="AP561" s="1"/>
      <c r="AQ561" s="1"/>
      <c r="AR561" s="1"/>
      <c r="AS561" s="1"/>
      <c r="AT561" s="1" t="s">
        <v>534</v>
      </c>
      <c r="AU561" s="1"/>
      <c r="AV561" s="1">
        <v>332</v>
      </c>
      <c r="AW561" s="1"/>
      <c r="AX561" s="1">
        <v>29600</v>
      </c>
      <c r="AY561" s="1">
        <v>83372</v>
      </c>
      <c r="AZ561" s="1"/>
      <c r="BA561" s="1">
        <v>3.68</v>
      </c>
      <c r="BB561" s="1"/>
      <c r="BC561" s="1"/>
      <c r="BD561" s="1"/>
      <c r="BE561" s="1"/>
      <c r="BF561" s="1"/>
      <c r="BG561" s="1"/>
      <c r="BH561" s="1"/>
      <c r="BI561" s="1"/>
      <c r="BJ561" s="1">
        <v>22655.434782608696</v>
      </c>
      <c r="BK561" s="1"/>
    </row>
    <row r="562" spans="1:63" ht="30" thickBot="1" x14ac:dyDescent="0.25">
      <c r="A562" s="3">
        <v>562</v>
      </c>
      <c r="B562" s="3" t="s">
        <v>528</v>
      </c>
      <c r="C562" s="3" t="s">
        <v>543</v>
      </c>
      <c r="D562" s="1" t="s">
        <v>527</v>
      </c>
      <c r="E562" s="1"/>
      <c r="F562" s="1"/>
      <c r="G562" s="1" t="s">
        <v>102</v>
      </c>
      <c r="H562" s="1" t="s">
        <v>110</v>
      </c>
      <c r="I562" s="1"/>
      <c r="J562" s="113">
        <f>Table4[[#This Row],[total_cost_npr]]*(1/'Calculations &amp; Assumptions'!$C$6)</f>
        <v>0</v>
      </c>
      <c r="K562" s="113">
        <f>Table4[[#This Row],[system_cost_npr_per_kwp]]*(1/'Calculations &amp; Assumptions'!$C$6)</f>
        <v>0</v>
      </c>
      <c r="L562" s="23">
        <f>IF(Table4[[#This Row],[total_cost_inr]]&gt;0, Table4[[#This Row],[total_cost_inr]]*'Calculations &amp; Assumptions'!$C$7,IF(Table4[[#This Row],[total_cost_eur]]&gt;0,Table4[[#This Row],[total_cost_eur]]*'Calculations &amp; Assumptions'!$C$5,0))</f>
        <v>0</v>
      </c>
      <c r="M562" s="77"/>
      <c r="N562" s="1"/>
      <c r="O562" s="1"/>
      <c r="P562" s="1"/>
      <c r="Q562" s="1"/>
      <c r="R562" s="1"/>
      <c r="S562" s="1"/>
      <c r="T562" s="1"/>
      <c r="U562" s="1"/>
      <c r="V562" s="1"/>
      <c r="W562" s="1"/>
      <c r="X562" s="1"/>
      <c r="Y562" s="1"/>
      <c r="Z562" s="1"/>
      <c r="AA562" s="1"/>
      <c r="AB562" s="1"/>
      <c r="AC562" s="1"/>
      <c r="AD562" s="1"/>
      <c r="AE562" s="1"/>
      <c r="AF562" s="1"/>
      <c r="AG562" s="1"/>
      <c r="AH562" s="6"/>
      <c r="AI562" s="1"/>
      <c r="AJ562" s="1"/>
      <c r="AK562" s="1"/>
      <c r="AL562" s="1"/>
      <c r="AM562" s="1"/>
      <c r="AN562" s="1"/>
      <c r="AO562" s="1"/>
      <c r="AP562" s="1"/>
      <c r="AQ562" s="1"/>
      <c r="AR562" s="1"/>
      <c r="AS562" s="1"/>
      <c r="AT562" s="1" t="s">
        <v>535</v>
      </c>
      <c r="AU562" s="1"/>
      <c r="AV562" s="1">
        <v>431</v>
      </c>
      <c r="AW562" s="1"/>
      <c r="AX562" s="1">
        <v>34910</v>
      </c>
      <c r="AY562" s="1">
        <v>168270</v>
      </c>
      <c r="AZ562" s="1"/>
      <c r="BA562" s="1">
        <v>7.63</v>
      </c>
      <c r="BB562" s="1"/>
      <c r="BC562" s="1"/>
      <c r="BD562" s="1"/>
      <c r="BE562" s="1"/>
      <c r="BF562" s="1"/>
      <c r="BG562" s="1"/>
      <c r="BH562" s="1"/>
      <c r="BI562" s="1"/>
      <c r="BJ562" s="1">
        <v>22053.735255570118</v>
      </c>
      <c r="BK562" s="1"/>
    </row>
    <row r="563" spans="1:63" ht="44" thickBot="1" x14ac:dyDescent="0.25">
      <c r="A563" s="3">
        <v>563</v>
      </c>
      <c r="B563" s="3" t="s">
        <v>528</v>
      </c>
      <c r="C563" s="3" t="s">
        <v>543</v>
      </c>
      <c r="D563" s="1" t="s">
        <v>527</v>
      </c>
      <c r="E563" s="1"/>
      <c r="F563" s="1"/>
      <c r="G563" s="1" t="s">
        <v>102</v>
      </c>
      <c r="H563" s="1" t="s">
        <v>110</v>
      </c>
      <c r="I563" s="1"/>
      <c r="J563" s="113">
        <f>Table4[[#This Row],[total_cost_npr]]*(1/'Calculations &amp; Assumptions'!$C$6)</f>
        <v>0</v>
      </c>
      <c r="K563" s="113">
        <f>Table4[[#This Row],[system_cost_npr_per_kwp]]*(1/'Calculations &amp; Assumptions'!$C$6)</f>
        <v>0</v>
      </c>
      <c r="L563" s="23">
        <f>IF(Table4[[#This Row],[total_cost_inr]]&gt;0, Table4[[#This Row],[total_cost_inr]]*'Calculations &amp; Assumptions'!$C$7,IF(Table4[[#This Row],[total_cost_eur]]&gt;0,Table4[[#This Row],[total_cost_eur]]*'Calculations &amp; Assumptions'!$C$5,0))</f>
        <v>0</v>
      </c>
      <c r="M563" s="77"/>
      <c r="N563" s="1"/>
      <c r="O563" s="1"/>
      <c r="P563" s="1"/>
      <c r="Q563" s="1"/>
      <c r="R563" s="1"/>
      <c r="S563" s="1"/>
      <c r="T563" s="1"/>
      <c r="U563" s="1"/>
      <c r="V563" s="1"/>
      <c r="W563" s="1"/>
      <c r="X563" s="1"/>
      <c r="Y563" s="1"/>
      <c r="Z563" s="1"/>
      <c r="AA563" s="1"/>
      <c r="AB563" s="1"/>
      <c r="AC563" s="1"/>
      <c r="AD563" s="1"/>
      <c r="AE563" s="1"/>
      <c r="AF563" s="1"/>
      <c r="AG563" s="1"/>
      <c r="AH563" s="6"/>
      <c r="AI563" s="1"/>
      <c r="AJ563" s="1"/>
      <c r="AK563" s="1"/>
      <c r="AL563" s="1"/>
      <c r="AM563" s="1"/>
      <c r="AN563" s="1"/>
      <c r="AO563" s="1"/>
      <c r="AP563" s="1"/>
      <c r="AQ563" s="1"/>
      <c r="AR563" s="1"/>
      <c r="AS563" s="1"/>
      <c r="AT563" s="1" t="s">
        <v>536</v>
      </c>
      <c r="AU563" s="1"/>
      <c r="AV563" s="1">
        <v>1016</v>
      </c>
      <c r="AW563" s="1"/>
      <c r="AX563" s="1">
        <v>97392</v>
      </c>
      <c r="AY563" s="1">
        <v>426010</v>
      </c>
      <c r="AZ563" s="1"/>
      <c r="BA563" s="1">
        <v>10.9</v>
      </c>
      <c r="BB563" s="1"/>
      <c r="BC563" s="1"/>
      <c r="BD563" s="1"/>
      <c r="BE563" s="1"/>
      <c r="BF563" s="1"/>
      <c r="BG563" s="1"/>
      <c r="BH563" s="1"/>
      <c r="BI563" s="1"/>
      <c r="BJ563" s="1">
        <v>39083.48623853211</v>
      </c>
      <c r="BK563" s="1"/>
    </row>
    <row r="564" spans="1:63" ht="30" thickBot="1" x14ac:dyDescent="0.25">
      <c r="A564" s="3">
        <v>564</v>
      </c>
      <c r="B564" s="3" t="s">
        <v>528</v>
      </c>
      <c r="C564" s="3" t="s">
        <v>543</v>
      </c>
      <c r="D564" s="1" t="s">
        <v>527</v>
      </c>
      <c r="E564" s="1"/>
      <c r="F564" s="1"/>
      <c r="G564" s="1" t="s">
        <v>102</v>
      </c>
      <c r="H564" s="1" t="s">
        <v>110</v>
      </c>
      <c r="I564" s="1"/>
      <c r="J564" s="113">
        <f>Table4[[#This Row],[total_cost_npr]]*(1/'Calculations &amp; Assumptions'!$C$6)</f>
        <v>0</v>
      </c>
      <c r="K564" s="113">
        <f>Table4[[#This Row],[system_cost_npr_per_kwp]]*(1/'Calculations &amp; Assumptions'!$C$6)</f>
        <v>0</v>
      </c>
      <c r="L564" s="23">
        <f>IF(Table4[[#This Row],[total_cost_inr]]&gt;0, Table4[[#This Row],[total_cost_inr]]*'Calculations &amp; Assumptions'!$C$7,IF(Table4[[#This Row],[total_cost_eur]]&gt;0,Table4[[#This Row],[total_cost_eur]]*'Calculations &amp; Assumptions'!$C$5,0))</f>
        <v>0</v>
      </c>
      <c r="M564" s="77"/>
      <c r="N564" s="1"/>
      <c r="O564" s="1"/>
      <c r="P564" s="1"/>
      <c r="Q564" s="1"/>
      <c r="R564" s="1"/>
      <c r="S564" s="1"/>
      <c r="T564" s="1"/>
      <c r="U564" s="1"/>
      <c r="V564" s="1"/>
      <c r="W564" s="1"/>
      <c r="X564" s="1"/>
      <c r="Y564" s="1"/>
      <c r="Z564" s="1"/>
      <c r="AA564" s="1"/>
      <c r="AB564" s="1"/>
      <c r="AC564" s="1"/>
      <c r="AD564" s="1"/>
      <c r="AE564" s="1"/>
      <c r="AF564" s="1"/>
      <c r="AG564" s="1"/>
      <c r="AH564" s="6"/>
      <c r="AI564" s="1"/>
      <c r="AJ564" s="1"/>
      <c r="AK564" s="1"/>
      <c r="AL564" s="1"/>
      <c r="AM564" s="1"/>
      <c r="AN564" s="1"/>
      <c r="AO564" s="1"/>
      <c r="AP564" s="1"/>
      <c r="AQ564" s="1"/>
      <c r="AR564" s="1"/>
      <c r="AS564" s="1"/>
      <c r="AT564" s="1" t="s">
        <v>537</v>
      </c>
      <c r="AU564" s="1"/>
      <c r="AV564" s="1">
        <v>264</v>
      </c>
      <c r="AW564" s="1"/>
      <c r="AX564" s="1">
        <v>22410</v>
      </c>
      <c r="AY564" s="1">
        <v>86800</v>
      </c>
      <c r="AZ564" s="1"/>
      <c r="BA564" s="1">
        <v>5.37</v>
      </c>
      <c r="BB564" s="1"/>
      <c r="BC564" s="1"/>
      <c r="BD564" s="1"/>
      <c r="BE564" s="1"/>
      <c r="BF564" s="1"/>
      <c r="BG564" s="1"/>
      <c r="BH564" s="1"/>
      <c r="BI564" s="1"/>
      <c r="BJ564" s="1">
        <v>16163.873370577281</v>
      </c>
      <c r="BK564" s="1"/>
    </row>
    <row r="565" spans="1:63" ht="30" thickBot="1" x14ac:dyDescent="0.25">
      <c r="A565" s="3">
        <v>565</v>
      </c>
      <c r="B565" s="3" t="s">
        <v>528</v>
      </c>
      <c r="C565" s="3" t="s">
        <v>543</v>
      </c>
      <c r="D565" s="1" t="s">
        <v>527</v>
      </c>
      <c r="E565" s="1"/>
      <c r="F565" s="1"/>
      <c r="G565" s="1" t="s">
        <v>102</v>
      </c>
      <c r="H565" s="1" t="s">
        <v>110</v>
      </c>
      <c r="I565" s="1"/>
      <c r="J565" s="113">
        <f>Table4[[#This Row],[total_cost_npr]]*(1/'Calculations &amp; Assumptions'!$C$6)</f>
        <v>0</v>
      </c>
      <c r="K565" s="113">
        <f>Table4[[#This Row],[system_cost_npr_per_kwp]]*(1/'Calculations &amp; Assumptions'!$C$6)</f>
        <v>0</v>
      </c>
      <c r="L565" s="23">
        <f>IF(Table4[[#This Row],[total_cost_inr]]&gt;0, Table4[[#This Row],[total_cost_inr]]*'Calculations &amp; Assumptions'!$C$7,IF(Table4[[#This Row],[total_cost_eur]]&gt;0,Table4[[#This Row],[total_cost_eur]]*'Calculations &amp; Assumptions'!$C$5,0))</f>
        <v>0</v>
      </c>
      <c r="M565" s="77"/>
      <c r="N565" s="1"/>
      <c r="O565" s="1"/>
      <c r="P565" s="1"/>
      <c r="Q565" s="1"/>
      <c r="R565" s="1"/>
      <c r="S565" s="1"/>
      <c r="T565" s="1"/>
      <c r="U565" s="1"/>
      <c r="V565" s="1"/>
      <c r="W565" s="1"/>
      <c r="X565" s="1"/>
      <c r="Y565" s="1"/>
      <c r="Z565" s="1"/>
      <c r="AA565" s="1"/>
      <c r="AB565" s="1"/>
      <c r="AC565" s="1"/>
      <c r="AD565" s="1"/>
      <c r="AE565" s="1"/>
      <c r="AF565" s="1"/>
      <c r="AG565" s="1"/>
      <c r="AH565" s="6"/>
      <c r="AI565" s="1"/>
      <c r="AJ565" s="1"/>
      <c r="AK565" s="1"/>
      <c r="AL565" s="1"/>
      <c r="AM565" s="1"/>
      <c r="AN565" s="1"/>
      <c r="AO565" s="1"/>
      <c r="AP565" s="1"/>
      <c r="AQ565" s="1"/>
      <c r="AR565" s="1"/>
      <c r="AS565" s="1"/>
      <c r="AT565" s="1" t="s">
        <v>538</v>
      </c>
      <c r="AU565" s="1"/>
      <c r="AV565" s="1">
        <v>279</v>
      </c>
      <c r="AW565" s="1"/>
      <c r="AX565" s="1">
        <v>23788</v>
      </c>
      <c r="AY565" s="1">
        <v>123668</v>
      </c>
      <c r="AZ565" s="1"/>
      <c r="BA565" s="1">
        <v>8.1999999999999993</v>
      </c>
      <c r="BB565" s="1"/>
      <c r="BC565" s="1"/>
      <c r="BD565" s="1"/>
      <c r="BE565" s="1"/>
      <c r="BF565" s="1"/>
      <c r="BG565" s="1"/>
      <c r="BH565" s="1"/>
      <c r="BI565" s="1"/>
      <c r="BJ565" s="1">
        <v>15081.463414634147</v>
      </c>
      <c r="BK565" s="1"/>
    </row>
    <row r="566" spans="1:63" ht="30" thickBot="1" x14ac:dyDescent="0.25">
      <c r="A566" s="3">
        <v>566</v>
      </c>
      <c r="B566" s="3" t="s">
        <v>528</v>
      </c>
      <c r="C566" s="3" t="s">
        <v>543</v>
      </c>
      <c r="D566" s="1" t="s">
        <v>527</v>
      </c>
      <c r="E566" s="1"/>
      <c r="F566" s="1"/>
      <c r="G566" s="1" t="s">
        <v>102</v>
      </c>
      <c r="H566" s="1" t="s">
        <v>110</v>
      </c>
      <c r="I566" s="1"/>
      <c r="J566" s="113">
        <f>Table4[[#This Row],[total_cost_npr]]*(1/'Calculations &amp; Assumptions'!$C$6)</f>
        <v>0</v>
      </c>
      <c r="K566" s="113">
        <f>Table4[[#This Row],[system_cost_npr_per_kwp]]*(1/'Calculations &amp; Assumptions'!$C$6)</f>
        <v>0</v>
      </c>
      <c r="L566" s="23">
        <f>IF(Table4[[#This Row],[total_cost_inr]]&gt;0, Table4[[#This Row],[total_cost_inr]]*'Calculations &amp; Assumptions'!$C$7,IF(Table4[[#This Row],[total_cost_eur]]&gt;0,Table4[[#This Row],[total_cost_eur]]*'Calculations &amp; Assumptions'!$C$5,0))</f>
        <v>0</v>
      </c>
      <c r="M566" s="77"/>
      <c r="N566" s="1"/>
      <c r="O566" s="1"/>
      <c r="P566" s="1"/>
      <c r="Q566" s="1"/>
      <c r="R566" s="1"/>
      <c r="S566" s="1"/>
      <c r="T566" s="1"/>
      <c r="U566" s="1"/>
      <c r="V566" s="1"/>
      <c r="W566" s="1"/>
      <c r="X566" s="1"/>
      <c r="Y566" s="1"/>
      <c r="Z566" s="1"/>
      <c r="AA566" s="1"/>
      <c r="AB566" s="1"/>
      <c r="AC566" s="1"/>
      <c r="AD566" s="1"/>
      <c r="AE566" s="1"/>
      <c r="AF566" s="1"/>
      <c r="AG566" s="1"/>
      <c r="AH566" s="6"/>
      <c r="AI566" s="1"/>
      <c r="AJ566" s="1"/>
      <c r="AK566" s="1"/>
      <c r="AL566" s="1"/>
      <c r="AM566" s="1"/>
      <c r="AN566" s="1"/>
      <c r="AO566" s="1"/>
      <c r="AP566" s="1"/>
      <c r="AQ566" s="1"/>
      <c r="AR566" s="1"/>
      <c r="AS566" s="1"/>
      <c r="AT566" s="1" t="s">
        <v>539</v>
      </c>
      <c r="AU566" s="1"/>
      <c r="AV566" s="1">
        <v>400</v>
      </c>
      <c r="AW566" s="1"/>
      <c r="AX566" s="1">
        <v>32706</v>
      </c>
      <c r="AY566" s="1">
        <v>94465</v>
      </c>
      <c r="AZ566" s="1"/>
      <c r="BA566" s="1">
        <v>5.48</v>
      </c>
      <c r="BB566" s="1"/>
      <c r="BC566" s="1"/>
      <c r="BD566" s="1"/>
      <c r="BE566" s="1"/>
      <c r="BF566" s="1"/>
      <c r="BG566" s="1"/>
      <c r="BH566" s="1"/>
      <c r="BI566" s="1"/>
      <c r="BJ566" s="1">
        <v>17238.138686131384</v>
      </c>
      <c r="BK566" s="1"/>
    </row>
    <row r="567" spans="1:63" ht="30" thickBot="1" x14ac:dyDescent="0.25">
      <c r="A567" s="3">
        <v>567</v>
      </c>
      <c r="B567" s="3" t="s">
        <v>528</v>
      </c>
      <c r="C567" s="3" t="s">
        <v>543</v>
      </c>
      <c r="D567" s="1" t="s">
        <v>527</v>
      </c>
      <c r="E567" s="1"/>
      <c r="F567" s="1"/>
      <c r="G567" s="1" t="s">
        <v>102</v>
      </c>
      <c r="H567" s="1" t="s">
        <v>110</v>
      </c>
      <c r="I567" s="1"/>
      <c r="J567" s="113">
        <f>Table4[[#This Row],[total_cost_npr]]*(1/'Calculations &amp; Assumptions'!$C$6)</f>
        <v>0</v>
      </c>
      <c r="K567" s="113">
        <f>Table4[[#This Row],[system_cost_npr_per_kwp]]*(1/'Calculations &amp; Assumptions'!$C$6)</f>
        <v>0</v>
      </c>
      <c r="L567" s="23">
        <f>IF(Table4[[#This Row],[total_cost_inr]]&gt;0, Table4[[#This Row],[total_cost_inr]]*'Calculations &amp; Assumptions'!$C$7,IF(Table4[[#This Row],[total_cost_eur]]&gt;0,Table4[[#This Row],[total_cost_eur]]*'Calculations &amp; Assumptions'!$C$5,0))</f>
        <v>0</v>
      </c>
      <c r="M567" s="77"/>
      <c r="N567" s="1"/>
      <c r="O567" s="1"/>
      <c r="P567" s="1"/>
      <c r="Q567" s="1"/>
      <c r="R567" s="1"/>
      <c r="S567" s="1"/>
      <c r="T567" s="1"/>
      <c r="U567" s="1"/>
      <c r="V567" s="1"/>
      <c r="W567" s="1"/>
      <c r="X567" s="1"/>
      <c r="Y567" s="1"/>
      <c r="Z567" s="1"/>
      <c r="AA567" s="1"/>
      <c r="AB567" s="1"/>
      <c r="AC567" s="1"/>
      <c r="AD567" s="1"/>
      <c r="AE567" s="1"/>
      <c r="AF567" s="1"/>
      <c r="AG567" s="1"/>
      <c r="AH567" s="6"/>
      <c r="AI567" s="1"/>
      <c r="AJ567" s="1"/>
      <c r="AK567" s="1"/>
      <c r="AL567" s="1"/>
      <c r="AM567" s="1"/>
      <c r="AN567" s="1"/>
      <c r="AO567" s="1"/>
      <c r="AP567" s="1"/>
      <c r="AQ567" s="1"/>
      <c r="AR567" s="1"/>
      <c r="AS567" s="1"/>
      <c r="AT567" s="1" t="s">
        <v>540</v>
      </c>
      <c r="AU567" s="1"/>
      <c r="AV567" s="1">
        <v>651</v>
      </c>
      <c r="AW567" s="1"/>
      <c r="AX567" s="1">
        <v>6981</v>
      </c>
      <c r="AY567" s="1">
        <v>95096</v>
      </c>
      <c r="AZ567" s="1"/>
      <c r="BA567" s="1">
        <v>5.95</v>
      </c>
      <c r="BB567" s="1"/>
      <c r="BC567" s="1"/>
      <c r="BD567" s="1"/>
      <c r="BE567" s="1"/>
      <c r="BF567" s="1"/>
      <c r="BG567" s="1"/>
      <c r="BH567" s="1"/>
      <c r="BI567" s="1"/>
      <c r="BJ567" s="1">
        <v>15982.521008403361</v>
      </c>
      <c r="BK567" s="1"/>
    </row>
    <row r="568" spans="1:63" ht="30" thickBot="1" x14ac:dyDescent="0.25">
      <c r="A568" s="3">
        <v>568</v>
      </c>
      <c r="B568" s="3" t="s">
        <v>528</v>
      </c>
      <c r="C568" s="3" t="s">
        <v>543</v>
      </c>
      <c r="D568" s="1" t="s">
        <v>527</v>
      </c>
      <c r="E568" s="1"/>
      <c r="F568" s="1"/>
      <c r="G568" s="1" t="s">
        <v>102</v>
      </c>
      <c r="H568" s="1" t="s">
        <v>110</v>
      </c>
      <c r="I568" s="1"/>
      <c r="J568" s="113">
        <f>Table4[[#This Row],[total_cost_npr]]*(1/'Calculations &amp; Assumptions'!$C$6)</f>
        <v>0</v>
      </c>
      <c r="K568" s="113">
        <f>Table4[[#This Row],[system_cost_npr_per_kwp]]*(1/'Calculations &amp; Assumptions'!$C$6)</f>
        <v>0</v>
      </c>
      <c r="L568" s="23">
        <f>IF(Table4[[#This Row],[total_cost_inr]]&gt;0, Table4[[#This Row],[total_cost_inr]]*'Calculations &amp; Assumptions'!$C$7,IF(Table4[[#This Row],[total_cost_eur]]&gt;0,Table4[[#This Row],[total_cost_eur]]*'Calculations &amp; Assumptions'!$C$5,0))</f>
        <v>0</v>
      </c>
      <c r="M568" s="77"/>
      <c r="N568" s="1"/>
      <c r="O568" s="1"/>
      <c r="P568" s="1"/>
      <c r="Q568" s="1"/>
      <c r="R568" s="1"/>
      <c r="S568" s="1"/>
      <c r="T568" s="1"/>
      <c r="U568" s="1"/>
      <c r="V568" s="1"/>
      <c r="W568" s="1"/>
      <c r="X568" s="1"/>
      <c r="Y568" s="1"/>
      <c r="Z568" s="1"/>
      <c r="AA568" s="1"/>
      <c r="AB568" s="1"/>
      <c r="AC568" s="1"/>
      <c r="AD568" s="1"/>
      <c r="AE568" s="1"/>
      <c r="AF568" s="1"/>
      <c r="AG568" s="1"/>
      <c r="AH568" s="6"/>
      <c r="AI568" s="1"/>
      <c r="AJ568" s="1"/>
      <c r="AK568" s="1"/>
      <c r="AL568" s="1"/>
      <c r="AM568" s="1"/>
      <c r="AN568" s="1"/>
      <c r="AO568" s="1"/>
      <c r="AP568" s="1"/>
      <c r="AQ568" s="1"/>
      <c r="AR568" s="1"/>
      <c r="AS568" s="1"/>
      <c r="AT568" s="1" t="s">
        <v>541</v>
      </c>
      <c r="AU568" s="1"/>
      <c r="AV568" s="1">
        <v>251</v>
      </c>
      <c r="AW568" s="1"/>
      <c r="AX568" s="1">
        <v>7850</v>
      </c>
      <c r="AY568" s="1">
        <v>73337</v>
      </c>
      <c r="AZ568" s="1"/>
      <c r="BA568" s="1">
        <v>4.7699999999999996</v>
      </c>
      <c r="BB568" s="1"/>
      <c r="BC568" s="1"/>
      <c r="BD568" s="1"/>
      <c r="BE568" s="1"/>
      <c r="BF568" s="1"/>
      <c r="BG568" s="1"/>
      <c r="BH568" s="1"/>
      <c r="BI568" s="1"/>
      <c r="BJ568" s="1">
        <v>15374.633123689729</v>
      </c>
      <c r="BK568" s="1"/>
    </row>
    <row r="569" spans="1:63" ht="44" thickBot="1" x14ac:dyDescent="0.25">
      <c r="A569" s="3">
        <v>569</v>
      </c>
      <c r="B569" s="3" t="s">
        <v>562</v>
      </c>
      <c r="C569" s="3" t="s">
        <v>582</v>
      </c>
      <c r="D569" s="1" t="s">
        <v>524</v>
      </c>
      <c r="E569" s="1"/>
      <c r="F569" s="1"/>
      <c r="G569" s="1" t="s">
        <v>51</v>
      </c>
      <c r="H569" s="1" t="s">
        <v>58</v>
      </c>
      <c r="I569" s="1"/>
      <c r="J569" s="113">
        <f>Table4[[#This Row],[total_cost_npr]]*(1/'Calculations &amp; Assumptions'!$C$6)</f>
        <v>384.91147036181673</v>
      </c>
      <c r="K569" s="113">
        <f>Table4[[#This Row],[system_cost_npr_per_kwp]]*(1/'Calculations &amp; Assumptions'!$C$6)</f>
        <v>384.91147036181673</v>
      </c>
      <c r="L569" s="22">
        <v>50000</v>
      </c>
      <c r="M569" s="22">
        <f>Table4[[#This Row],[total_cost_npr]]/Table4[[#This Row],[pv_kWp]]</f>
        <v>50000</v>
      </c>
      <c r="N569" s="1"/>
      <c r="O569" s="1"/>
      <c r="P569" s="1"/>
      <c r="Q569" s="1"/>
      <c r="R569" s="1"/>
      <c r="S569" s="1">
        <v>1</v>
      </c>
      <c r="T569" s="1">
        <v>1</v>
      </c>
      <c r="U569" s="1"/>
      <c r="V569" s="1"/>
      <c r="W569" s="1"/>
      <c r="X569" s="1"/>
      <c r="Y569" s="1"/>
      <c r="Z569" s="1"/>
      <c r="AA569" s="1"/>
      <c r="AB569" s="1"/>
      <c r="AC569" s="1"/>
      <c r="AD569" s="1"/>
      <c r="AE569" s="1"/>
      <c r="AF569" s="1"/>
      <c r="AG569" s="1"/>
      <c r="AH569" s="6"/>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t="s">
        <v>563</v>
      </c>
    </row>
    <row r="570" spans="1:63" ht="44" thickBot="1" x14ac:dyDescent="0.25">
      <c r="A570" s="3">
        <v>570</v>
      </c>
      <c r="B570" s="3" t="s">
        <v>562</v>
      </c>
      <c r="C570" s="3" t="s">
        <v>582</v>
      </c>
      <c r="D570" s="1" t="s">
        <v>524</v>
      </c>
      <c r="E570" s="1"/>
      <c r="F570" s="1"/>
      <c r="G570" s="1" t="s">
        <v>51</v>
      </c>
      <c r="H570" s="1" t="s">
        <v>447</v>
      </c>
      <c r="I570" s="1"/>
      <c r="J570" s="113">
        <f>Table4[[#This Row],[total_cost_npr]]*(1/'Calculations &amp; Assumptions'!$C$6)</f>
        <v>138.56812933025404</v>
      </c>
      <c r="K570" s="113">
        <f>Table4[[#This Row],[system_cost_npr_per_kwp]]*(1/'Calculations &amp; Assumptions'!$C$6)</f>
        <v>138.56812933025404</v>
      </c>
      <c r="L570" s="22">
        <v>18000</v>
      </c>
      <c r="M570" s="22">
        <f>Table4[[#This Row],[total_cost_npr]]/Table4[[#This Row],[pv_kWp]]</f>
        <v>18000</v>
      </c>
      <c r="N570" s="1"/>
      <c r="O570" s="1"/>
      <c r="P570" s="1"/>
      <c r="Q570" s="1"/>
      <c r="R570" s="1"/>
      <c r="S570" s="1">
        <v>1</v>
      </c>
      <c r="T570" s="1">
        <v>1</v>
      </c>
      <c r="U570" s="1"/>
      <c r="V570" s="1"/>
      <c r="W570" s="1"/>
      <c r="X570" s="1"/>
      <c r="Y570" s="1"/>
      <c r="Z570" s="1"/>
      <c r="AA570" s="1"/>
      <c r="AB570" s="1"/>
      <c r="AC570" s="1"/>
      <c r="AD570" s="1"/>
      <c r="AE570" s="1"/>
      <c r="AF570" s="1"/>
      <c r="AG570" s="1"/>
      <c r="AH570" s="6"/>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t="s">
        <v>563</v>
      </c>
    </row>
    <row r="571" spans="1:63" ht="44" thickBot="1" x14ac:dyDescent="0.25">
      <c r="A571" s="3">
        <v>571</v>
      </c>
      <c r="B571" s="3" t="s">
        <v>562</v>
      </c>
      <c r="C571" s="3" t="s">
        <v>582</v>
      </c>
      <c r="D571" s="1" t="s">
        <v>524</v>
      </c>
      <c r="E571" s="1"/>
      <c r="F571" s="1"/>
      <c r="G571" s="1" t="s">
        <v>51</v>
      </c>
      <c r="H571" s="1" t="s">
        <v>81</v>
      </c>
      <c r="I571" s="1"/>
      <c r="J571" s="113">
        <f>Table4[[#This Row],[total_cost_npr]]*(1/'Calculations &amp; Assumptions'!$C$6)</f>
        <v>192.45573518090836</v>
      </c>
      <c r="K571" s="113">
        <f>Table4[[#This Row],[system_cost_npr_per_kwp]]*(1/'Calculations &amp; Assumptions'!$C$6)</f>
        <v>192.45573518090836</v>
      </c>
      <c r="L571" s="22">
        <v>25000</v>
      </c>
      <c r="M571" s="22">
        <f>Table4[[#This Row],[total_cost_npr]]/Table4[[#This Row],[pv_kWp]]</f>
        <v>25000</v>
      </c>
      <c r="N571" s="1"/>
      <c r="O571" s="1"/>
      <c r="P571" s="1"/>
      <c r="Q571" s="1"/>
      <c r="R571" s="1"/>
      <c r="S571" s="1">
        <v>1</v>
      </c>
      <c r="T571" s="1">
        <v>1</v>
      </c>
      <c r="U571" s="1"/>
      <c r="V571" s="1"/>
      <c r="W571" s="1"/>
      <c r="X571" s="1"/>
      <c r="Y571" s="1"/>
      <c r="Z571" s="1"/>
      <c r="AA571" s="1"/>
      <c r="AB571" s="1"/>
      <c r="AC571" s="1"/>
      <c r="AD571" s="1"/>
      <c r="AE571" s="1"/>
      <c r="AF571" s="1"/>
      <c r="AG571" s="1"/>
      <c r="AH571" s="6"/>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t="s">
        <v>563</v>
      </c>
    </row>
    <row r="572" spans="1:63" ht="44" thickBot="1" x14ac:dyDescent="0.25">
      <c r="A572" s="3">
        <v>572</v>
      </c>
      <c r="B572" s="3" t="s">
        <v>562</v>
      </c>
      <c r="C572" s="3" t="s">
        <v>582</v>
      </c>
      <c r="D572" s="1" t="s">
        <v>524</v>
      </c>
      <c r="E572" s="1"/>
      <c r="F572" s="1"/>
      <c r="G572" s="1" t="s">
        <v>51</v>
      </c>
      <c r="H572" s="1" t="s">
        <v>91</v>
      </c>
      <c r="I572" s="1"/>
      <c r="J572" s="113">
        <f>Table4[[#This Row],[total_cost_npr]]*(1/'Calculations &amp; Assumptions'!$C$6)</f>
        <v>461.89376443418007</v>
      </c>
      <c r="K572" s="113">
        <f>Table4[[#This Row],[system_cost_npr_per_kwp]]*(1/'Calculations &amp; Assumptions'!$C$6)</f>
        <v>461.89376443418007</v>
      </c>
      <c r="L572" s="22">
        <v>60000</v>
      </c>
      <c r="M572" s="22">
        <f>Table4[[#This Row],[total_cost_npr]]/Table4[[#This Row],[pv_kWp]]</f>
        <v>60000</v>
      </c>
      <c r="N572" s="1"/>
      <c r="O572" s="1"/>
      <c r="P572" s="1"/>
      <c r="Q572" s="1"/>
      <c r="R572" s="1"/>
      <c r="S572" s="1">
        <v>1</v>
      </c>
      <c r="T572" s="1">
        <v>1</v>
      </c>
      <c r="U572" s="1"/>
      <c r="V572" s="1"/>
      <c r="W572" s="1"/>
      <c r="X572" s="1"/>
      <c r="Y572" s="1"/>
      <c r="Z572" s="1"/>
      <c r="AA572" s="1"/>
      <c r="AB572" s="1"/>
      <c r="AC572" s="1"/>
      <c r="AD572" s="1"/>
      <c r="AE572" s="1"/>
      <c r="AF572" s="1"/>
      <c r="AG572" s="1"/>
      <c r="AH572" s="6"/>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t="s">
        <v>563</v>
      </c>
    </row>
    <row r="573" spans="1:63" ht="44" thickBot="1" x14ac:dyDescent="0.25">
      <c r="A573" s="3">
        <v>573</v>
      </c>
      <c r="B573" s="3" t="s">
        <v>562</v>
      </c>
      <c r="C573" s="3" t="s">
        <v>582</v>
      </c>
      <c r="D573" s="1" t="s">
        <v>524</v>
      </c>
      <c r="E573" s="1"/>
      <c r="F573" s="1"/>
      <c r="G573" s="1" t="s">
        <v>51</v>
      </c>
      <c r="H573" s="1" t="s">
        <v>92</v>
      </c>
      <c r="I573" s="1"/>
      <c r="J573" s="113">
        <f>Table4[[#This Row],[total_cost_npr]]*(1/'Calculations &amp; Assumptions'!$C$6)</f>
        <v>177.05927636643571</v>
      </c>
      <c r="K573" s="113">
        <f>Table4[[#This Row],[system_cost_npr_per_kwp]]*(1/'Calculations &amp; Assumptions'!$C$6)</f>
        <v>177.05927636643571</v>
      </c>
      <c r="L573" s="22">
        <v>23000</v>
      </c>
      <c r="M573" s="22">
        <f>Table4[[#This Row],[total_cost_npr]]/Table4[[#This Row],[pv_kWp]]</f>
        <v>23000</v>
      </c>
      <c r="N573" s="1"/>
      <c r="O573" s="1"/>
      <c r="P573" s="1"/>
      <c r="Q573" s="1"/>
      <c r="R573" s="1"/>
      <c r="S573" s="1">
        <v>1</v>
      </c>
      <c r="T573" s="1">
        <v>1</v>
      </c>
      <c r="U573" s="1"/>
      <c r="V573" s="1"/>
      <c r="W573" s="1"/>
      <c r="X573" s="1"/>
      <c r="Y573" s="1"/>
      <c r="Z573" s="1"/>
      <c r="AA573" s="1"/>
      <c r="AB573" s="1"/>
      <c r="AC573" s="1"/>
      <c r="AD573" s="1"/>
      <c r="AE573" s="1"/>
      <c r="AF573" s="1"/>
      <c r="AG573" s="1"/>
      <c r="AH573" s="6"/>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t="s">
        <v>563</v>
      </c>
    </row>
    <row r="574" spans="1:63" ht="44" thickBot="1" x14ac:dyDescent="0.25">
      <c r="A574" s="3">
        <v>574</v>
      </c>
      <c r="B574" s="3" t="s">
        <v>562</v>
      </c>
      <c r="C574" s="3" t="s">
        <v>582</v>
      </c>
      <c r="D574" s="1" t="s">
        <v>524</v>
      </c>
      <c r="E574" s="1"/>
      <c r="F574" s="1"/>
      <c r="G574" s="1" t="s">
        <v>51</v>
      </c>
      <c r="H574" s="1" t="s">
        <v>116</v>
      </c>
      <c r="I574" s="1"/>
      <c r="J574" s="113">
        <f>Table4[[#This Row],[total_cost_npr]]*(1/'Calculations &amp; Assumptions'!$C$6)</f>
        <v>377.21324095458039</v>
      </c>
      <c r="K574" s="113">
        <f>Table4[[#This Row],[system_cost_npr_per_kwp]]*(1/'Calculations &amp; Assumptions'!$C$6)</f>
        <v>377.21324095458039</v>
      </c>
      <c r="L574" s="22">
        <v>49000</v>
      </c>
      <c r="M574" s="22">
        <f>Table4[[#This Row],[total_cost_npr]]/Table4[[#This Row],[pv_kWp]]</f>
        <v>49000</v>
      </c>
      <c r="N574" s="1"/>
      <c r="O574" s="1"/>
      <c r="P574" s="1"/>
      <c r="Q574" s="1"/>
      <c r="R574" s="1"/>
      <c r="S574" s="1">
        <v>1</v>
      </c>
      <c r="T574" s="1">
        <v>1</v>
      </c>
      <c r="U574" s="1"/>
      <c r="V574" s="1"/>
      <c r="W574" s="1"/>
      <c r="X574" s="1"/>
      <c r="Y574" s="1"/>
      <c r="Z574" s="1"/>
      <c r="AA574" s="1"/>
      <c r="AB574" s="1"/>
      <c r="AC574" s="1"/>
      <c r="AD574" s="1"/>
      <c r="AE574" s="1"/>
      <c r="AF574" s="1"/>
      <c r="AG574" s="1"/>
      <c r="AH574" s="6"/>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t="s">
        <v>563</v>
      </c>
    </row>
    <row r="575" spans="1:63" ht="44" thickBot="1" x14ac:dyDescent="0.25">
      <c r="A575" s="3">
        <v>575</v>
      </c>
      <c r="B575" s="3" t="s">
        <v>564</v>
      </c>
      <c r="C575" s="3" t="s">
        <v>582</v>
      </c>
      <c r="D575" s="1" t="s">
        <v>524</v>
      </c>
      <c r="E575" s="1"/>
      <c r="F575" s="1"/>
      <c r="G575" s="1" t="s">
        <v>51</v>
      </c>
      <c r="H575" s="1" t="s">
        <v>81</v>
      </c>
      <c r="I575" s="1" t="s">
        <v>565</v>
      </c>
      <c r="J575" s="113">
        <f>Table4[[#This Row],[total_cost_npr]]*(1/'Calculations &amp; Assumptions'!$C$6)</f>
        <v>1979.2917628945338</v>
      </c>
      <c r="K575" s="113">
        <f>Table4[[#This Row],[system_cost_npr_per_kwp]]*(1/'Calculations &amp; Assumptions'!$C$6)</f>
        <v>395.85835257890676</v>
      </c>
      <c r="L575" s="22">
        <v>257109.99999999997</v>
      </c>
      <c r="M575" s="22">
        <f>Table4[[#This Row],[total_cost_npr]]/Table4[[#This Row],[pv_kWp]]</f>
        <v>51421.999999999993</v>
      </c>
      <c r="N575" s="1"/>
      <c r="O575" s="1"/>
      <c r="P575" s="1"/>
      <c r="Q575" s="1"/>
      <c r="R575" s="1"/>
      <c r="S575" s="1">
        <v>5</v>
      </c>
      <c r="T575" s="1">
        <v>5</v>
      </c>
      <c r="U575" s="1"/>
      <c r="V575" s="1"/>
      <c r="W575" s="1"/>
      <c r="X575" s="1"/>
      <c r="Y575" s="1"/>
      <c r="Z575" s="1"/>
      <c r="AA575" s="1"/>
      <c r="AB575" s="1"/>
      <c r="AC575" s="1"/>
      <c r="AD575" s="1"/>
      <c r="AE575" s="1"/>
      <c r="AF575" s="1"/>
      <c r="AG575" s="1"/>
      <c r="AH575" s="6"/>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t="s">
        <v>563</v>
      </c>
    </row>
    <row r="576" spans="1:63" ht="44" thickBot="1" x14ac:dyDescent="0.25">
      <c r="A576" s="3">
        <v>576</v>
      </c>
      <c r="B576" s="3" t="s">
        <v>564</v>
      </c>
      <c r="C576" s="3" t="s">
        <v>582</v>
      </c>
      <c r="D576" s="1" t="s">
        <v>524</v>
      </c>
      <c r="E576" s="1"/>
      <c r="F576" s="1"/>
      <c r="G576" s="1" t="s">
        <v>51</v>
      </c>
      <c r="H576" s="1" t="s">
        <v>81</v>
      </c>
      <c r="I576" s="1" t="s">
        <v>566</v>
      </c>
      <c r="J576" s="113">
        <f>Table4[[#This Row],[total_cost_npr]]*(1/'Calculations &amp; Assumptions'!$C$6)</f>
        <v>2390.4541955350269</v>
      </c>
      <c r="K576" s="113">
        <f>Table4[[#This Row],[system_cost_npr_per_kwp]]*(1/'Calculations &amp; Assumptions'!$C$6)</f>
        <v>398.40903258917115</v>
      </c>
      <c r="L576" s="22">
        <v>310520</v>
      </c>
      <c r="M576" s="22">
        <f>Table4[[#This Row],[total_cost_npr]]/Table4[[#This Row],[pv_kWp]]</f>
        <v>51753.333333333336</v>
      </c>
      <c r="N576" s="1"/>
      <c r="O576" s="1"/>
      <c r="P576" s="1"/>
      <c r="Q576" s="1"/>
      <c r="R576" s="1"/>
      <c r="S576" s="1">
        <v>6</v>
      </c>
      <c r="T576" s="1">
        <v>6</v>
      </c>
      <c r="U576" s="1"/>
      <c r="V576" s="1"/>
      <c r="W576" s="1"/>
      <c r="X576" s="1"/>
      <c r="Y576" s="1"/>
      <c r="Z576" s="1"/>
      <c r="AA576" s="1"/>
      <c r="AB576" s="1"/>
      <c r="AC576" s="1"/>
      <c r="AD576" s="1"/>
      <c r="AE576" s="1"/>
      <c r="AF576" s="1"/>
      <c r="AG576" s="1"/>
      <c r="AH576" s="6"/>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t="s">
        <v>563</v>
      </c>
    </row>
    <row r="577" spans="1:63" ht="44" thickBot="1" x14ac:dyDescent="0.25">
      <c r="A577" s="3">
        <v>577</v>
      </c>
      <c r="B577" s="3" t="s">
        <v>564</v>
      </c>
      <c r="C577" s="3" t="s">
        <v>582</v>
      </c>
      <c r="D577" s="1" t="s">
        <v>524</v>
      </c>
      <c r="E577" s="1"/>
      <c r="F577" s="1"/>
      <c r="G577" s="1" t="s">
        <v>51</v>
      </c>
      <c r="H577" s="1" t="s">
        <v>81</v>
      </c>
      <c r="I577" s="1" t="s">
        <v>567</v>
      </c>
      <c r="J577" s="113">
        <f>Table4[[#This Row],[total_cost_npr]]*(1/'Calculations &amp; Assumptions'!$C$6)</f>
        <v>2588.221709006928</v>
      </c>
      <c r="K577" s="113">
        <f>Table4[[#This Row],[system_cost_npr_per_kwp]]*(1/'Calculations &amp; Assumptions'!$C$6)</f>
        <v>369.74595842956114</v>
      </c>
      <c r="L577" s="22">
        <v>336210</v>
      </c>
      <c r="M577" s="22">
        <f>Table4[[#This Row],[total_cost_npr]]/Table4[[#This Row],[pv_kWp]]</f>
        <v>48030</v>
      </c>
      <c r="N577" s="1"/>
      <c r="O577" s="1"/>
      <c r="P577" s="1"/>
      <c r="Q577" s="1"/>
      <c r="R577" s="1"/>
      <c r="S577" s="1">
        <v>7</v>
      </c>
      <c r="T577" s="1">
        <v>7</v>
      </c>
      <c r="U577" s="1"/>
      <c r="V577" s="1"/>
      <c r="W577" s="1"/>
      <c r="X577" s="1"/>
      <c r="Y577" s="1"/>
      <c r="Z577" s="1"/>
      <c r="AA577" s="1"/>
      <c r="AB577" s="1"/>
      <c r="AC577" s="1"/>
      <c r="AD577" s="1"/>
      <c r="AE577" s="1"/>
      <c r="AF577" s="1"/>
      <c r="AG577" s="1"/>
      <c r="AH577" s="6"/>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t="s">
        <v>563</v>
      </c>
    </row>
    <row r="578" spans="1:63" ht="44" thickBot="1" x14ac:dyDescent="0.25">
      <c r="A578" s="3">
        <v>578</v>
      </c>
      <c r="B578" s="3" t="s">
        <v>564</v>
      </c>
      <c r="C578" s="3" t="s">
        <v>582</v>
      </c>
      <c r="D578" s="1" t="s">
        <v>524</v>
      </c>
      <c r="E578" s="1"/>
      <c r="F578" s="1"/>
      <c r="G578" s="1" t="s">
        <v>51</v>
      </c>
      <c r="H578" s="1" t="s">
        <v>81</v>
      </c>
      <c r="I578" s="1" t="s">
        <v>568</v>
      </c>
      <c r="J578" s="113">
        <f>Table4[[#This Row],[total_cost_npr]]*(1/'Calculations &amp; Assumptions'!$C$6)</f>
        <v>2755.8121632024631</v>
      </c>
      <c r="K578" s="113">
        <f>Table4[[#This Row],[system_cost_npr_per_kwp]]*(1/'Calculations &amp; Assumptions'!$C$6)</f>
        <v>344.47652040030789</v>
      </c>
      <c r="L578" s="22">
        <v>357980</v>
      </c>
      <c r="M578" s="22">
        <f>Table4[[#This Row],[total_cost_npr]]/Table4[[#This Row],[pv_kWp]]</f>
        <v>44747.5</v>
      </c>
      <c r="N578" s="1"/>
      <c r="O578" s="1"/>
      <c r="P578" s="1"/>
      <c r="Q578" s="1"/>
      <c r="R578" s="1"/>
      <c r="S578" s="1">
        <v>8</v>
      </c>
      <c r="T578" s="1">
        <v>8</v>
      </c>
      <c r="U578" s="1"/>
      <c r="V578" s="1"/>
      <c r="W578" s="1"/>
      <c r="X578" s="1"/>
      <c r="Y578" s="1"/>
      <c r="Z578" s="1"/>
      <c r="AA578" s="1"/>
      <c r="AB578" s="1"/>
      <c r="AC578" s="1"/>
      <c r="AD578" s="1"/>
      <c r="AE578" s="1"/>
      <c r="AF578" s="1"/>
      <c r="AG578" s="1"/>
      <c r="AH578" s="6"/>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t="s">
        <v>563</v>
      </c>
    </row>
    <row r="579" spans="1:63" ht="44" thickBot="1" x14ac:dyDescent="0.25">
      <c r="A579" s="3">
        <v>579</v>
      </c>
      <c r="B579" s="3" t="s">
        <v>564</v>
      </c>
      <c r="C579" s="3" t="s">
        <v>582</v>
      </c>
      <c r="D579" s="1" t="s">
        <v>524</v>
      </c>
      <c r="E579" s="1"/>
      <c r="F579" s="1"/>
      <c r="G579" s="1" t="s">
        <v>51</v>
      </c>
      <c r="H579" s="1" t="s">
        <v>81</v>
      </c>
      <c r="I579" s="1" t="s">
        <v>569</v>
      </c>
      <c r="J579" s="113">
        <f>Table4[[#This Row],[total_cost_npr]]*(1/'Calculations &amp; Assumptions'!$C$6)</f>
        <v>2907.7752117013083</v>
      </c>
      <c r="K579" s="113">
        <f>Table4[[#This Row],[system_cost_npr_per_kwp]]*(1/'Calculations &amp; Assumptions'!$C$6)</f>
        <v>323.08613463347871</v>
      </c>
      <c r="L579" s="22">
        <v>377720</v>
      </c>
      <c r="M579" s="22">
        <f>Table4[[#This Row],[total_cost_npr]]/Table4[[#This Row],[pv_kWp]]</f>
        <v>41968.888888888891</v>
      </c>
      <c r="N579" s="1"/>
      <c r="O579" s="1"/>
      <c r="P579" s="1"/>
      <c r="Q579" s="1"/>
      <c r="R579" s="1"/>
      <c r="S579" s="1">
        <v>9</v>
      </c>
      <c r="T579" s="1">
        <v>9</v>
      </c>
      <c r="U579" s="1"/>
      <c r="V579" s="1"/>
      <c r="W579" s="1"/>
      <c r="X579" s="1"/>
      <c r="Y579" s="1"/>
      <c r="Z579" s="1"/>
      <c r="AA579" s="1"/>
      <c r="AB579" s="1"/>
      <c r="AC579" s="1"/>
      <c r="AD579" s="1"/>
      <c r="AE579" s="1"/>
      <c r="AF579" s="1"/>
      <c r="AG579" s="1"/>
      <c r="AH579" s="6"/>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t="s">
        <v>563</v>
      </c>
    </row>
    <row r="580" spans="1:63" ht="44" thickBot="1" x14ac:dyDescent="0.25">
      <c r="A580" s="3">
        <v>580</v>
      </c>
      <c r="B580" s="3" t="s">
        <v>564</v>
      </c>
      <c r="C580" s="3" t="s">
        <v>582</v>
      </c>
      <c r="D580" s="1" t="s">
        <v>524</v>
      </c>
      <c r="E580" s="1"/>
      <c r="F580" s="1"/>
      <c r="G580" s="1" t="s">
        <v>51</v>
      </c>
      <c r="H580" s="1" t="s">
        <v>81</v>
      </c>
      <c r="I580" s="1" t="s">
        <v>570</v>
      </c>
      <c r="J580" s="113">
        <f>Table4[[#This Row],[total_cost_npr]]*(1/'Calculations &amp; Assumptions'!$C$6)</f>
        <v>5175.9045419553495</v>
      </c>
      <c r="K580" s="113">
        <f>Table4[[#This Row],[system_cost_npr_per_kwp]]*(1/'Calculations &amp; Assumptions'!$C$6)</f>
        <v>207.03618167821398</v>
      </c>
      <c r="L580" s="22">
        <v>672350</v>
      </c>
      <c r="M580" s="22">
        <f>Table4[[#This Row],[total_cost_npr]]/Table4[[#This Row],[pv_kWp]]</f>
        <v>26894</v>
      </c>
      <c r="N580" s="1"/>
      <c r="O580" s="1"/>
      <c r="P580" s="1"/>
      <c r="Q580" s="1"/>
      <c r="R580" s="1"/>
      <c r="S580" s="1">
        <v>25</v>
      </c>
      <c r="T580" s="1">
        <v>25</v>
      </c>
      <c r="U580" s="1"/>
      <c r="V580" s="1"/>
      <c r="W580" s="1"/>
      <c r="X580" s="1"/>
      <c r="Y580" s="1"/>
      <c r="Z580" s="1"/>
      <c r="AA580" s="1"/>
      <c r="AB580" s="1"/>
      <c r="AC580" s="1"/>
      <c r="AD580" s="1"/>
      <c r="AE580" s="1"/>
      <c r="AF580" s="1"/>
      <c r="AG580" s="1"/>
      <c r="AH580" s="6"/>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t="s">
        <v>563</v>
      </c>
    </row>
    <row r="581" spans="1:63" ht="44" thickBot="1" x14ac:dyDescent="0.25">
      <c r="A581" s="3">
        <v>581</v>
      </c>
      <c r="B581" s="3" t="s">
        <v>564</v>
      </c>
      <c r="C581" s="3" t="s">
        <v>582</v>
      </c>
      <c r="D581" s="1" t="s">
        <v>524</v>
      </c>
      <c r="E581" s="1"/>
      <c r="F581" s="1"/>
      <c r="G581" s="1" t="s">
        <v>51</v>
      </c>
      <c r="H581" s="1" t="s">
        <v>81</v>
      </c>
      <c r="I581" s="1" t="s">
        <v>571</v>
      </c>
      <c r="J581" s="113">
        <f>Table4[[#This Row],[total_cost_npr]]*(1/'Calculations &amp; Assumptions'!$C$6)</f>
        <v>4521.1701308698994</v>
      </c>
      <c r="K581" s="113">
        <f>Table4[[#This Row],[system_cost_npr_per_kwp]]*(1/'Calculations &amp; Assumptions'!$C$6)</f>
        <v>226.05850654349499</v>
      </c>
      <c r="L581" s="22">
        <v>587300</v>
      </c>
      <c r="M581" s="22">
        <f>Table4[[#This Row],[total_cost_npr]]/Table4[[#This Row],[pv_kWp]]</f>
        <v>29365</v>
      </c>
      <c r="N581" s="1"/>
      <c r="O581" s="1"/>
      <c r="P581" s="1"/>
      <c r="Q581" s="1"/>
      <c r="R581" s="1"/>
      <c r="S581" s="1">
        <v>20</v>
      </c>
      <c r="T581" s="1">
        <v>20</v>
      </c>
      <c r="U581" s="1"/>
      <c r="V581" s="1"/>
      <c r="W581" s="1"/>
      <c r="X581" s="1"/>
      <c r="Y581" s="1"/>
      <c r="Z581" s="1"/>
      <c r="AA581" s="1"/>
      <c r="AB581" s="1"/>
      <c r="AC581" s="1"/>
      <c r="AD581" s="1"/>
      <c r="AE581" s="1"/>
      <c r="AF581" s="1"/>
      <c r="AG581" s="1"/>
      <c r="AH581" s="6"/>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t="s">
        <v>563</v>
      </c>
    </row>
    <row r="582" spans="1:63" ht="44" thickBot="1" x14ac:dyDescent="0.25">
      <c r="A582" s="3">
        <v>582</v>
      </c>
      <c r="B582" s="3" t="s">
        <v>564</v>
      </c>
      <c r="C582" s="3" t="s">
        <v>582</v>
      </c>
      <c r="D582" s="1" t="s">
        <v>524</v>
      </c>
      <c r="E582" s="1"/>
      <c r="F582" s="1"/>
      <c r="G582" s="1" t="s">
        <v>51</v>
      </c>
      <c r="H582" s="1" t="s">
        <v>81</v>
      </c>
      <c r="I582" s="1" t="s">
        <v>572</v>
      </c>
      <c r="J582" s="113">
        <f>Table4[[#This Row],[total_cost_npr]]*(1/'Calculations &amp; Assumptions'!$C$6)</f>
        <v>4338.4911470361812</v>
      </c>
      <c r="K582" s="113">
        <f>Table4[[#This Row],[system_cost_npr_per_kwp]]*(1/'Calculations &amp; Assumptions'!$C$6)</f>
        <v>289.23274313574547</v>
      </c>
      <c r="L582" s="22">
        <v>563570</v>
      </c>
      <c r="M582" s="22">
        <f>Table4[[#This Row],[total_cost_npr]]/Table4[[#This Row],[pv_kWp]]</f>
        <v>37571.333333333336</v>
      </c>
      <c r="N582" s="1"/>
      <c r="O582" s="1"/>
      <c r="P582" s="1"/>
      <c r="Q582" s="1"/>
      <c r="R582" s="1"/>
      <c r="S582" s="1">
        <v>15</v>
      </c>
      <c r="T582" s="1">
        <v>15</v>
      </c>
      <c r="U582" s="1"/>
      <c r="V582" s="1"/>
      <c r="W582" s="1"/>
      <c r="X582" s="1"/>
      <c r="Y582" s="1"/>
      <c r="Z582" s="1"/>
      <c r="AA582" s="1"/>
      <c r="AB582" s="1"/>
      <c r="AC582" s="1"/>
      <c r="AD582" s="1"/>
      <c r="AE582" s="1"/>
      <c r="AF582" s="1"/>
      <c r="AG582" s="1"/>
      <c r="AH582" s="6"/>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t="s">
        <v>563</v>
      </c>
    </row>
    <row r="583" spans="1:63" ht="44" thickBot="1" x14ac:dyDescent="0.25">
      <c r="A583" s="3">
        <v>583</v>
      </c>
      <c r="B583" s="3" t="s">
        <v>564</v>
      </c>
      <c r="C583" s="3" t="s">
        <v>582</v>
      </c>
      <c r="D583" s="1" t="s">
        <v>524</v>
      </c>
      <c r="E583" s="1"/>
      <c r="F583" s="1"/>
      <c r="G583" s="1" t="s">
        <v>51</v>
      </c>
      <c r="H583" s="1" t="s">
        <v>81</v>
      </c>
      <c r="I583" s="1" t="s">
        <v>573</v>
      </c>
      <c r="J583" s="113">
        <f>Table4[[#This Row],[total_cost_npr]]*(1/'Calculations &amp; Assumptions'!$C$6)</f>
        <v>3151.3471901462663</v>
      </c>
      <c r="K583" s="113">
        <f>Table4[[#This Row],[system_cost_npr_per_kwp]]*(1/'Calculations &amp; Assumptions'!$C$6)</f>
        <v>315.13471901462663</v>
      </c>
      <c r="L583" s="22">
        <v>409360</v>
      </c>
      <c r="M583" s="22">
        <f>Table4[[#This Row],[total_cost_npr]]/Table4[[#This Row],[pv_kWp]]</f>
        <v>40936</v>
      </c>
      <c r="N583" s="1"/>
      <c r="O583" s="1"/>
      <c r="P583" s="1"/>
      <c r="Q583" s="1"/>
      <c r="R583" s="1"/>
      <c r="S583" s="1">
        <v>10</v>
      </c>
      <c r="T583" s="1">
        <v>10</v>
      </c>
      <c r="U583" s="1"/>
      <c r="V583" s="1"/>
      <c r="W583" s="1"/>
      <c r="X583" s="1"/>
      <c r="Y583" s="1"/>
      <c r="Z583" s="1"/>
      <c r="AA583" s="1"/>
      <c r="AB583" s="1"/>
      <c r="AC583" s="1"/>
      <c r="AD583" s="1"/>
      <c r="AE583" s="1"/>
      <c r="AF583" s="1"/>
      <c r="AG583" s="1"/>
      <c r="AH583" s="6"/>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t="s">
        <v>563</v>
      </c>
    </row>
    <row r="584" spans="1:63" ht="16" thickBot="1" x14ac:dyDescent="0.25">
      <c r="A584" s="3">
        <v>584</v>
      </c>
      <c r="B584" s="3" t="s">
        <v>564</v>
      </c>
      <c r="C584" s="3" t="s">
        <v>582</v>
      </c>
      <c r="D584" s="1" t="s">
        <v>524</v>
      </c>
      <c r="E584" s="1"/>
      <c r="F584" s="1"/>
      <c r="G584" s="1" t="s">
        <v>51</v>
      </c>
      <c r="H584" s="1" t="s">
        <v>92</v>
      </c>
      <c r="I584" s="1" t="s">
        <v>617</v>
      </c>
      <c r="J584" s="113">
        <f>Table4[[#This Row],[total_cost_npr]]*(1/'Calculations &amp; Assumptions'!$C$6)</f>
        <v>4064.7421093148573</v>
      </c>
      <c r="K584" s="113">
        <f>Table4[[#This Row],[system_cost_npr_per_kwp]]*(1/'Calculations &amp; Assumptions'!$C$6)</f>
        <v>846.8212727739284</v>
      </c>
      <c r="L584" s="22">
        <v>528010</v>
      </c>
      <c r="M584" s="22">
        <f>Table4[[#This Row],[total_cost_npr]]/Table4[[#This Row],[pv_kWp]]</f>
        <v>110002.08333333331</v>
      </c>
      <c r="N584" s="1"/>
      <c r="O584" s="1"/>
      <c r="P584" s="1"/>
      <c r="Q584" s="1"/>
      <c r="R584" s="1"/>
      <c r="S584" s="1"/>
      <c r="T584" s="1">
        <f>6*0.8</f>
        <v>4.8000000000000007</v>
      </c>
      <c r="U584" s="1"/>
      <c r="V584" s="1"/>
      <c r="W584" s="1"/>
      <c r="X584" s="1"/>
      <c r="Y584" s="1"/>
      <c r="Z584" s="1"/>
      <c r="AA584" s="1"/>
      <c r="AB584" s="1"/>
      <c r="AC584" s="1"/>
      <c r="AD584" s="1"/>
      <c r="AE584" s="1"/>
      <c r="AF584" s="1"/>
      <c r="AG584" s="1"/>
      <c r="AH584" s="6"/>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row>
    <row r="585" spans="1:63" ht="16" thickBot="1" x14ac:dyDescent="0.25">
      <c r="A585" s="3">
        <v>585</v>
      </c>
      <c r="B585" s="3" t="s">
        <v>564</v>
      </c>
      <c r="C585" s="3" t="s">
        <v>582</v>
      </c>
      <c r="D585" s="1" t="s">
        <v>524</v>
      </c>
      <c r="E585" s="1"/>
      <c r="F585" s="1"/>
      <c r="G585" s="1" t="s">
        <v>51</v>
      </c>
      <c r="H585" s="1" t="s">
        <v>92</v>
      </c>
      <c r="I585" s="1" t="s">
        <v>618</v>
      </c>
      <c r="J585" s="113">
        <f>Table4[[#This Row],[total_cost_npr]]*(1/'Calculations &amp; Assumptions'!$C$6)</f>
        <v>4529.2532717474978</v>
      </c>
      <c r="K585" s="113">
        <f>Table4[[#This Row],[system_cost_npr_per_kwp]]*(1/'Calculations &amp; Assumptions'!$C$6)</f>
        <v>707.69582371054651</v>
      </c>
      <c r="L585" s="22">
        <v>588350</v>
      </c>
      <c r="M585" s="22">
        <f>Table4[[#This Row],[total_cost_npr]]/Table4[[#This Row],[pv_kWp]]</f>
        <v>91929.6875</v>
      </c>
      <c r="N585" s="1"/>
      <c r="O585" s="1"/>
      <c r="P585" s="1"/>
      <c r="Q585" s="1"/>
      <c r="R585" s="1"/>
      <c r="S585" s="1"/>
      <c r="T585" s="1">
        <f>8*0.8</f>
        <v>6.4</v>
      </c>
      <c r="U585" s="1"/>
      <c r="V585" s="1"/>
      <c r="W585" s="1"/>
      <c r="X585" s="1"/>
      <c r="Y585" s="1"/>
      <c r="Z585" s="1"/>
      <c r="AA585" s="1"/>
      <c r="AB585" s="1"/>
      <c r="AC585" s="1"/>
      <c r="AD585" s="1"/>
      <c r="AE585" s="1"/>
      <c r="AF585" s="1"/>
      <c r="AG585" s="1"/>
      <c r="AH585" s="6"/>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row>
    <row r="586" spans="1:63" ht="44" thickBot="1" x14ac:dyDescent="0.25">
      <c r="A586" s="3">
        <v>586</v>
      </c>
      <c r="B586" s="3" t="s">
        <v>574</v>
      </c>
      <c r="C586" s="3" t="s">
        <v>582</v>
      </c>
      <c r="D586" s="1" t="s">
        <v>524</v>
      </c>
      <c r="E586" s="1"/>
      <c r="F586" s="1"/>
      <c r="G586" s="1" t="s">
        <v>51</v>
      </c>
      <c r="H586" s="1" t="s">
        <v>58</v>
      </c>
      <c r="I586" s="1"/>
      <c r="J586" s="113">
        <f>Table4[[#This Row],[total_cost_npr]]*(1/'Calculations &amp; Assumptions'!$C$6)</f>
        <v>346.42032332563508</v>
      </c>
      <c r="K586" s="113">
        <f>Table4[[#This Row],[system_cost_npr_per_kwp]]*(1/'Calculations &amp; Assumptions'!$C$6)</f>
        <v>346.42032332563508</v>
      </c>
      <c r="L586" s="22">
        <v>45000</v>
      </c>
      <c r="M586" s="22">
        <f>Table4[[#This Row],[total_cost_npr]]/Table4[[#This Row],[pv_kWp]]</f>
        <v>45000</v>
      </c>
      <c r="N586" s="1"/>
      <c r="O586" s="1"/>
      <c r="P586" s="1"/>
      <c r="Q586" s="1"/>
      <c r="R586" s="1"/>
      <c r="S586" s="1">
        <v>1</v>
      </c>
      <c r="T586" s="1">
        <v>1</v>
      </c>
      <c r="U586" s="1"/>
      <c r="V586" s="1"/>
      <c r="W586" s="1"/>
      <c r="X586" s="1"/>
      <c r="Y586" s="1"/>
      <c r="Z586" s="1"/>
      <c r="AA586" s="1"/>
      <c r="AB586" s="1"/>
      <c r="AC586" s="1"/>
      <c r="AD586" s="1"/>
      <c r="AE586" s="1"/>
      <c r="AF586" s="1"/>
      <c r="AG586" s="1"/>
      <c r="AH586" s="6"/>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t="s">
        <v>563</v>
      </c>
    </row>
    <row r="587" spans="1:63" ht="44" thickBot="1" x14ac:dyDescent="0.25">
      <c r="A587" s="3">
        <v>587</v>
      </c>
      <c r="B587" s="3" t="s">
        <v>574</v>
      </c>
      <c r="C587" s="3" t="s">
        <v>582</v>
      </c>
      <c r="D587" s="1" t="s">
        <v>524</v>
      </c>
      <c r="E587" s="1"/>
      <c r="F587" s="1"/>
      <c r="G587" s="1" t="s">
        <v>51</v>
      </c>
      <c r="H587" s="1" t="s">
        <v>447</v>
      </c>
      <c r="I587" s="1"/>
      <c r="J587" s="113">
        <f>Table4[[#This Row],[total_cost_npr]]*(1/'Calculations &amp; Assumptions'!$C$6)</f>
        <v>123.17167051578136</v>
      </c>
      <c r="K587" s="113">
        <f>Table4[[#This Row],[system_cost_npr_per_kwp]]*(1/'Calculations &amp; Assumptions'!$C$6)</f>
        <v>123.17167051578136</v>
      </c>
      <c r="L587" s="22">
        <v>16000</v>
      </c>
      <c r="M587" s="22">
        <f>Table4[[#This Row],[total_cost_npr]]/Table4[[#This Row],[pv_kWp]]</f>
        <v>16000</v>
      </c>
      <c r="N587" s="1"/>
      <c r="O587" s="1"/>
      <c r="P587" s="1"/>
      <c r="Q587" s="1"/>
      <c r="R587" s="1"/>
      <c r="S587" s="1"/>
      <c r="T587" s="1">
        <v>1</v>
      </c>
      <c r="U587" s="1"/>
      <c r="V587" s="1"/>
      <c r="W587" s="1"/>
      <c r="X587" s="1"/>
      <c r="Y587" s="1"/>
      <c r="Z587" s="1"/>
      <c r="AA587" s="1"/>
      <c r="AB587" s="1"/>
      <c r="AC587" s="1"/>
      <c r="AD587" s="1"/>
      <c r="AE587" s="1"/>
      <c r="AF587" s="1"/>
      <c r="AG587" s="1"/>
      <c r="AH587" s="6"/>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t="s">
        <v>563</v>
      </c>
    </row>
    <row r="588" spans="1:63" ht="44" thickBot="1" x14ac:dyDescent="0.25">
      <c r="A588" s="3">
        <v>588</v>
      </c>
      <c r="B588" s="3" t="s">
        <v>574</v>
      </c>
      <c r="C588" s="3" t="s">
        <v>582</v>
      </c>
      <c r="D588" s="1" t="s">
        <v>524</v>
      </c>
      <c r="E588" s="1"/>
      <c r="F588" s="1"/>
      <c r="G588" s="1" t="s">
        <v>51</v>
      </c>
      <c r="H588" s="1" t="s">
        <v>91</v>
      </c>
      <c r="I588" s="1"/>
      <c r="J588" s="113">
        <f>Table4[[#This Row],[total_cost_npr]]*(1/'Calculations &amp; Assumptions'!$C$6)</f>
        <v>500.38491147036177</v>
      </c>
      <c r="K588" s="113">
        <f>Table4[[#This Row],[system_cost_npr_per_kwp]]*(1/'Calculations &amp; Assumptions'!$C$6)</f>
        <v>500.38491147036177</v>
      </c>
      <c r="L588" s="22">
        <v>65000</v>
      </c>
      <c r="M588" s="22">
        <f>Table4[[#This Row],[total_cost_npr]]/Table4[[#This Row],[pv_kWp]]</f>
        <v>65000</v>
      </c>
      <c r="N588" s="1"/>
      <c r="O588" s="1"/>
      <c r="P588" s="1"/>
      <c r="Q588" s="1"/>
      <c r="R588" s="1"/>
      <c r="S588" s="1"/>
      <c r="T588" s="1">
        <v>1</v>
      </c>
      <c r="U588" s="1"/>
      <c r="V588" s="1"/>
      <c r="W588" s="1"/>
      <c r="X588" s="1"/>
      <c r="Y588" s="1"/>
      <c r="Z588" s="1"/>
      <c r="AA588" s="1"/>
      <c r="AB588" s="1"/>
      <c r="AC588" s="1"/>
      <c r="AD588" s="1"/>
      <c r="AE588" s="1"/>
      <c r="AF588" s="1"/>
      <c r="AG588" s="1"/>
      <c r="AH588" s="6"/>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t="s">
        <v>563</v>
      </c>
    </row>
    <row r="589" spans="1:63" ht="44" thickBot="1" x14ac:dyDescent="0.25">
      <c r="A589" s="3">
        <v>589</v>
      </c>
      <c r="B589" s="3" t="s">
        <v>574</v>
      </c>
      <c r="C589" s="3" t="s">
        <v>582</v>
      </c>
      <c r="D589" s="1" t="s">
        <v>524</v>
      </c>
      <c r="E589" s="1"/>
      <c r="F589" s="1"/>
      <c r="G589" s="1" t="s">
        <v>51</v>
      </c>
      <c r="H589" s="1" t="s">
        <v>116</v>
      </c>
      <c r="I589" s="1"/>
      <c r="J589" s="113">
        <f>Table4[[#This Row],[total_cost_npr]]*(1/'Calculations &amp; Assumptions'!$C$6)</f>
        <v>103.92609699769052</v>
      </c>
      <c r="K589" s="113">
        <f>Table4[[#This Row],[system_cost_npr_per_kwp]]*(1/'Calculations &amp; Assumptions'!$C$6)</f>
        <v>103.92609699769052</v>
      </c>
      <c r="L589" s="22">
        <v>13500</v>
      </c>
      <c r="M589" s="22">
        <f>Table4[[#This Row],[total_cost_npr]]/Table4[[#This Row],[pv_kWp]]</f>
        <v>13500</v>
      </c>
      <c r="N589" s="1"/>
      <c r="O589" s="1"/>
      <c r="P589" s="1"/>
      <c r="Q589" s="1"/>
      <c r="R589" s="1"/>
      <c r="S589" s="1"/>
      <c r="T589" s="1">
        <v>1</v>
      </c>
      <c r="U589" s="1"/>
      <c r="V589" s="1"/>
      <c r="W589" s="1"/>
      <c r="X589" s="1"/>
      <c r="Y589" s="1"/>
      <c r="Z589" s="1"/>
      <c r="AA589" s="1"/>
      <c r="AB589" s="1"/>
      <c r="AC589" s="1"/>
      <c r="AD589" s="1"/>
      <c r="AE589" s="1"/>
      <c r="AF589" s="1"/>
      <c r="AG589" s="1"/>
      <c r="AH589" s="6"/>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t="s">
        <v>563</v>
      </c>
    </row>
    <row r="590" spans="1:63" ht="44" thickBot="1" x14ac:dyDescent="0.25">
      <c r="A590" s="3">
        <v>590</v>
      </c>
      <c r="B590" s="3" t="s">
        <v>574</v>
      </c>
      <c r="C590" s="3" t="s">
        <v>582</v>
      </c>
      <c r="D590" s="1" t="s">
        <v>524</v>
      </c>
      <c r="E590" s="1"/>
      <c r="F590" s="1"/>
      <c r="G590" s="1" t="s">
        <v>51</v>
      </c>
      <c r="H590" s="1" t="s">
        <v>52</v>
      </c>
      <c r="I590" s="1"/>
      <c r="J590" s="113">
        <f>Table4[[#This Row],[total_cost_npr]]*(1/'Calculations &amp; Assumptions'!$C$6)</f>
        <v>42.340261739799843</v>
      </c>
      <c r="K590" s="113">
        <f>Table4[[#This Row],[system_cost_npr_per_kwp]]*(1/'Calculations &amp; Assumptions'!$C$6)</f>
        <v>42.340261739799843</v>
      </c>
      <c r="L590" s="22">
        <v>5500</v>
      </c>
      <c r="M590" s="22">
        <f>Table4[[#This Row],[total_cost_npr]]/Table4[[#This Row],[pv_kWp]]</f>
        <v>5500</v>
      </c>
      <c r="N590" s="1"/>
      <c r="O590" s="1"/>
      <c r="P590" s="1"/>
      <c r="Q590" s="1"/>
      <c r="R590" s="1"/>
      <c r="S590" s="1"/>
      <c r="T590" s="1">
        <v>1</v>
      </c>
      <c r="U590" s="1"/>
      <c r="V590" s="1"/>
      <c r="W590" s="1"/>
      <c r="X590" s="1"/>
      <c r="Y590" s="1"/>
      <c r="Z590" s="1"/>
      <c r="AA590" s="1"/>
      <c r="AB590" s="1"/>
      <c r="AC590" s="1"/>
      <c r="AD590" s="1"/>
      <c r="AE590" s="1"/>
      <c r="AF590" s="1"/>
      <c r="AG590" s="1"/>
      <c r="AH590" s="6"/>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t="s">
        <v>563</v>
      </c>
    </row>
    <row r="591" spans="1:63" ht="44" thickBot="1" x14ac:dyDescent="0.25">
      <c r="A591" s="3">
        <v>591</v>
      </c>
      <c r="B591" s="3" t="s">
        <v>575</v>
      </c>
      <c r="C591" s="3" t="s">
        <v>582</v>
      </c>
      <c r="D591" s="1" t="s">
        <v>524</v>
      </c>
      <c r="E591" s="1"/>
      <c r="F591" s="1"/>
      <c r="G591" s="1" t="s">
        <v>51</v>
      </c>
      <c r="H591" s="1" t="s">
        <v>113</v>
      </c>
      <c r="I591" s="1"/>
      <c r="J591" s="113">
        <f>Table4[[#This Row],[total_cost_npr]]*(1/'Calculations &amp; Assumptions'!$C$6)</f>
        <v>192.99461123941489</v>
      </c>
      <c r="K591" s="113">
        <f>Table4[[#This Row],[system_cost_npr_per_kwp]]*(1/'Calculations &amp; Assumptions'!$C$6)</f>
        <v>80.414421349756211</v>
      </c>
      <c r="L591" s="22">
        <v>25069.999999999996</v>
      </c>
      <c r="M591" s="22">
        <f>Table4[[#This Row],[total_cost_npr]]/Table4[[#This Row],[pv_kWp]]</f>
        <v>10445.833333333332</v>
      </c>
      <c r="N591" s="1"/>
      <c r="O591" s="1"/>
      <c r="P591" s="1"/>
      <c r="Q591" s="1"/>
      <c r="R591" s="1"/>
      <c r="S591" s="1">
        <v>2.4</v>
      </c>
      <c r="T591" s="1">
        <v>2.4</v>
      </c>
      <c r="U591" s="1"/>
      <c r="V591" s="1"/>
      <c r="W591" s="1"/>
      <c r="X591" s="1"/>
      <c r="Y591" s="1"/>
      <c r="Z591" s="1"/>
      <c r="AA591" s="1"/>
      <c r="AB591" s="1"/>
      <c r="AC591" s="1"/>
      <c r="AD591" s="1"/>
      <c r="AE591" s="1"/>
      <c r="AF591" s="1"/>
      <c r="AG591" s="1"/>
      <c r="AH591" s="6"/>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t="s">
        <v>563</v>
      </c>
    </row>
    <row r="592" spans="1:63" ht="44" thickBot="1" x14ac:dyDescent="0.25">
      <c r="A592" s="3">
        <v>592</v>
      </c>
      <c r="B592" s="3" t="s">
        <v>575</v>
      </c>
      <c r="C592" s="3" t="s">
        <v>582</v>
      </c>
      <c r="D592" s="1" t="s">
        <v>524</v>
      </c>
      <c r="E592" s="1"/>
      <c r="F592" s="1"/>
      <c r="G592" s="1" t="s">
        <v>51</v>
      </c>
      <c r="H592" s="1" t="s">
        <v>113</v>
      </c>
      <c r="I592" s="1"/>
      <c r="J592" s="113">
        <f>Table4[[#This Row],[total_cost_npr]]*(1/'Calculations &amp; Assumptions'!$C$6)</f>
        <v>142.41724403387221</v>
      </c>
      <c r="K592" s="113">
        <f>Table4[[#This Row],[system_cost_npr_per_kwp]]*(1/'Calculations &amp; Assumptions'!$C$6)</f>
        <v>79.120691129929</v>
      </c>
      <c r="L592" s="22">
        <v>18500</v>
      </c>
      <c r="M592" s="22">
        <f>Table4[[#This Row],[total_cost_npr]]/Table4[[#This Row],[pv_kWp]]</f>
        <v>10277.777777777777</v>
      </c>
      <c r="N592" s="1"/>
      <c r="O592" s="1"/>
      <c r="P592" s="1"/>
      <c r="Q592" s="1"/>
      <c r="R592" s="1"/>
      <c r="S592" s="1">
        <v>1.8</v>
      </c>
      <c r="T592" s="1">
        <v>1.8</v>
      </c>
      <c r="U592" s="1"/>
      <c r="V592" s="1"/>
      <c r="W592" s="1"/>
      <c r="X592" s="1"/>
      <c r="Y592" s="1"/>
      <c r="Z592" s="1"/>
      <c r="AA592" s="1"/>
      <c r="AB592" s="1"/>
      <c r="AC592" s="1"/>
      <c r="AD592" s="1"/>
      <c r="AE592" s="1"/>
      <c r="AF592" s="1"/>
      <c r="AG592" s="1"/>
      <c r="AH592" s="6"/>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t="s">
        <v>563</v>
      </c>
    </row>
    <row r="593" spans="1:63" ht="44" thickBot="1" x14ac:dyDescent="0.25">
      <c r="A593" s="3">
        <v>593</v>
      </c>
      <c r="B593" s="3" t="s">
        <v>575</v>
      </c>
      <c r="C593" s="3" t="s">
        <v>582</v>
      </c>
      <c r="D593" s="1" t="s">
        <v>524</v>
      </c>
      <c r="E593" s="1"/>
      <c r="F593" s="1"/>
      <c r="G593" s="1" t="s">
        <v>51</v>
      </c>
      <c r="H593" s="1" t="s">
        <v>113</v>
      </c>
      <c r="I593" s="1"/>
      <c r="J593" s="113">
        <f>Table4[[#This Row],[total_cost_npr]]*(1/'Calculations &amp; Assumptions'!$C$6)</f>
        <v>115.47344110854502</v>
      </c>
      <c r="K593" s="113">
        <f>Table4[[#This Row],[system_cost_npr_per_kwp]]*(1/'Calculations &amp; Assumptions'!$C$6)</f>
        <v>96.227867590454181</v>
      </c>
      <c r="L593" s="22">
        <v>15000</v>
      </c>
      <c r="M593" s="22">
        <f>Table4[[#This Row],[total_cost_npr]]/Table4[[#This Row],[pv_kWp]]</f>
        <v>12500</v>
      </c>
      <c r="N593" s="1"/>
      <c r="O593" s="1"/>
      <c r="P593" s="1"/>
      <c r="Q593" s="1"/>
      <c r="R593" s="1"/>
      <c r="S593" s="1">
        <v>1.2</v>
      </c>
      <c r="T593" s="1">
        <v>1.2</v>
      </c>
      <c r="U593" s="1"/>
      <c r="V593" s="1"/>
      <c r="W593" s="1"/>
      <c r="X593" s="1"/>
      <c r="Y593" s="1"/>
      <c r="Z593" s="1"/>
      <c r="AA593" s="1"/>
      <c r="AB593" s="1"/>
      <c r="AC593" s="1"/>
      <c r="AD593" s="1"/>
      <c r="AE593" s="1"/>
      <c r="AF593" s="1"/>
      <c r="AG593" s="1"/>
      <c r="AH593" s="6"/>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t="s">
        <v>563</v>
      </c>
    </row>
    <row r="594" spans="1:63" ht="44" thickBot="1" x14ac:dyDescent="0.25">
      <c r="A594" s="3">
        <v>594</v>
      </c>
      <c r="B594" s="3" t="s">
        <v>575</v>
      </c>
      <c r="C594" s="3" t="s">
        <v>582</v>
      </c>
      <c r="D594" s="1" t="s">
        <v>524</v>
      </c>
      <c r="E594" s="1"/>
      <c r="F594" s="1"/>
      <c r="G594" s="1" t="s">
        <v>51</v>
      </c>
      <c r="H594" s="1" t="s">
        <v>113</v>
      </c>
      <c r="I594" s="1"/>
      <c r="J594" s="113">
        <f>Table4[[#This Row],[total_cost_npr]]*(1/'Calculations &amp; Assumptions'!$C$6)</f>
        <v>215.55042340261738</v>
      </c>
      <c r="K594" s="113">
        <f>Table4[[#This Row],[system_cost_npr_per_kwp]]*(1/'Calculations &amp; Assumptions'!$C$6)</f>
        <v>89.812676417757245</v>
      </c>
      <c r="L594" s="22">
        <v>28000</v>
      </c>
      <c r="M594" s="22">
        <f>Table4[[#This Row],[total_cost_npr]]/Table4[[#This Row],[pv_kWp]]</f>
        <v>11666.666666666668</v>
      </c>
      <c r="N594" s="1"/>
      <c r="O594" s="1"/>
      <c r="P594" s="1"/>
      <c r="Q594" s="1"/>
      <c r="R594" s="1"/>
      <c r="S594" s="1">
        <v>2.4</v>
      </c>
      <c r="T594" s="1">
        <v>2.4</v>
      </c>
      <c r="U594" s="1"/>
      <c r="V594" s="1"/>
      <c r="W594" s="1"/>
      <c r="X594" s="1"/>
      <c r="Y594" s="1"/>
      <c r="Z594" s="1"/>
      <c r="AA594" s="1"/>
      <c r="AB594" s="1"/>
      <c r="AC594" s="1"/>
      <c r="AD594" s="1"/>
      <c r="AE594" s="1"/>
      <c r="AF594" s="1"/>
      <c r="AG594" s="1"/>
      <c r="AH594" s="6"/>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t="s">
        <v>563</v>
      </c>
    </row>
    <row r="595" spans="1:63" ht="44" thickBot="1" x14ac:dyDescent="0.25">
      <c r="A595" s="3">
        <v>595</v>
      </c>
      <c r="B595" s="3" t="s">
        <v>575</v>
      </c>
      <c r="C595" s="3" t="s">
        <v>582</v>
      </c>
      <c r="D595" s="1" t="s">
        <v>524</v>
      </c>
      <c r="E595" s="1"/>
      <c r="F595" s="1"/>
      <c r="G595" s="1" t="s">
        <v>51</v>
      </c>
      <c r="H595" s="1" t="s">
        <v>113</v>
      </c>
      <c r="I595" s="1"/>
      <c r="J595" s="113">
        <f>Table4[[#This Row],[total_cost_npr]]*(1/'Calculations &amp; Assumptions'!$C$6)</f>
        <v>177.05927636643571</v>
      </c>
      <c r="K595" s="113">
        <f>Table4[[#This Row],[system_cost_npr_per_kwp]]*(1/'Calculations &amp; Assumptions'!$C$6)</f>
        <v>98.366264648019836</v>
      </c>
      <c r="L595" s="22">
        <v>23000</v>
      </c>
      <c r="M595" s="22">
        <f>Table4[[#This Row],[total_cost_npr]]/Table4[[#This Row],[pv_kWp]]</f>
        <v>12777.777777777777</v>
      </c>
      <c r="N595" s="1"/>
      <c r="O595" s="1"/>
      <c r="P595" s="1"/>
      <c r="Q595" s="1"/>
      <c r="R595" s="1"/>
      <c r="S595" s="1">
        <v>1.8</v>
      </c>
      <c r="T595" s="1">
        <v>1.8</v>
      </c>
      <c r="U595" s="1"/>
      <c r="V595" s="1"/>
      <c r="W595" s="1"/>
      <c r="X595" s="1"/>
      <c r="Y595" s="1"/>
      <c r="Z595" s="1"/>
      <c r="AA595" s="1"/>
      <c r="AB595" s="1"/>
      <c r="AC595" s="1"/>
      <c r="AD595" s="1"/>
      <c r="AE595" s="1"/>
      <c r="AF595" s="1"/>
      <c r="AG595" s="1"/>
      <c r="AH595" s="6"/>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t="s">
        <v>563</v>
      </c>
    </row>
    <row r="596" spans="1:63" ht="44" thickBot="1" x14ac:dyDescent="0.25">
      <c r="A596" s="3">
        <v>596</v>
      </c>
      <c r="B596" s="3" t="s">
        <v>575</v>
      </c>
      <c r="C596" s="3" t="s">
        <v>582</v>
      </c>
      <c r="D596" s="1" t="s">
        <v>524</v>
      </c>
      <c r="E596" s="1"/>
      <c r="F596" s="1"/>
      <c r="G596" s="1" t="s">
        <v>51</v>
      </c>
      <c r="H596" s="1" t="s">
        <v>113</v>
      </c>
      <c r="I596" s="1"/>
      <c r="J596" s="113">
        <f>Table4[[#This Row],[total_cost_npr]]*(1/'Calculations &amp; Assumptions'!$C$6)</f>
        <v>146.26635873749035</v>
      </c>
      <c r="K596" s="113">
        <f>Table4[[#This Row],[system_cost_npr_per_kwp]]*(1/'Calculations &amp; Assumptions'!$C$6)</f>
        <v>121.88863228124197</v>
      </c>
      <c r="L596" s="22">
        <v>19000</v>
      </c>
      <c r="M596" s="22">
        <f>Table4[[#This Row],[total_cost_npr]]/Table4[[#This Row],[pv_kWp]]</f>
        <v>15833.333333333334</v>
      </c>
      <c r="N596" s="1"/>
      <c r="O596" s="1"/>
      <c r="P596" s="1"/>
      <c r="Q596" s="1"/>
      <c r="R596" s="1"/>
      <c r="S596" s="1">
        <v>1.2</v>
      </c>
      <c r="T596" s="1">
        <v>1.2</v>
      </c>
      <c r="U596" s="1"/>
      <c r="V596" s="1"/>
      <c r="W596" s="1"/>
      <c r="X596" s="1"/>
      <c r="Y596" s="1"/>
      <c r="Z596" s="1"/>
      <c r="AA596" s="1"/>
      <c r="AB596" s="1"/>
      <c r="AC596" s="1"/>
      <c r="AD596" s="1"/>
      <c r="AE596" s="1"/>
      <c r="AF596" s="1"/>
      <c r="AG596" s="1"/>
      <c r="AH596" s="6"/>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t="s">
        <v>563</v>
      </c>
    </row>
    <row r="597" spans="1:63" ht="44" thickBot="1" x14ac:dyDescent="0.25">
      <c r="A597" s="3">
        <v>597</v>
      </c>
      <c r="B597" s="3" t="s">
        <v>575</v>
      </c>
      <c r="C597" s="3" t="s">
        <v>582</v>
      </c>
      <c r="D597" s="1" t="s">
        <v>524</v>
      </c>
      <c r="E597" s="1"/>
      <c r="F597" s="1"/>
      <c r="G597" s="1" t="s">
        <v>51</v>
      </c>
      <c r="H597" s="1" t="s">
        <v>113</v>
      </c>
      <c r="I597" s="1"/>
      <c r="J597" s="113">
        <f>Table4[[#This Row],[total_cost_npr]]*(1/'Calculations &amp; Assumptions'!$C$6)</f>
        <v>301.0007698229407</v>
      </c>
      <c r="K597" s="113">
        <f>Table4[[#This Row],[system_cost_npr_per_kwp]]*(1/'Calculations &amp; Assumptions'!$C$6)</f>
        <v>125.4169874262253</v>
      </c>
      <c r="L597" s="22">
        <v>39100</v>
      </c>
      <c r="M597" s="22">
        <f>Table4[[#This Row],[total_cost_npr]]/Table4[[#This Row],[pv_kWp]]</f>
        <v>16291.666666666668</v>
      </c>
      <c r="N597" s="1"/>
      <c r="O597" s="1"/>
      <c r="P597" s="1"/>
      <c r="Q597" s="1"/>
      <c r="R597" s="1"/>
      <c r="S597" s="1">
        <v>2.4</v>
      </c>
      <c r="T597" s="1">
        <v>2.4</v>
      </c>
      <c r="U597" s="1"/>
      <c r="V597" s="1"/>
      <c r="W597" s="1"/>
      <c r="X597" s="1"/>
      <c r="Y597" s="1"/>
      <c r="Z597" s="1"/>
      <c r="AA597" s="1"/>
      <c r="AB597" s="1"/>
      <c r="AC597" s="1"/>
      <c r="AD597" s="1"/>
      <c r="AE597" s="1"/>
      <c r="AF597" s="1"/>
      <c r="AG597" s="1"/>
      <c r="AH597" s="6"/>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t="s">
        <v>563</v>
      </c>
    </row>
    <row r="598" spans="1:63" ht="44" thickBot="1" x14ac:dyDescent="0.25">
      <c r="A598" s="3">
        <v>598</v>
      </c>
      <c r="B598" s="3" t="s">
        <v>575</v>
      </c>
      <c r="C598" s="3" t="s">
        <v>582</v>
      </c>
      <c r="D598" s="1" t="s">
        <v>524</v>
      </c>
      <c r="E598" s="1"/>
      <c r="F598" s="1"/>
      <c r="G598" s="1" t="s">
        <v>51</v>
      </c>
      <c r="H598" s="1" t="s">
        <v>113</v>
      </c>
      <c r="I598" s="1"/>
      <c r="J598" s="113">
        <f>Table4[[#This Row],[total_cost_npr]]*(1/'Calculations &amp; Assumptions'!$C$6)</f>
        <v>169.36104695919937</v>
      </c>
      <c r="K598" s="113">
        <f>Table4[[#This Row],[system_cost_npr_per_kwp]]*(1/'Calculations &amp; Assumptions'!$C$6)</f>
        <v>141.13420579933282</v>
      </c>
      <c r="L598" s="22">
        <v>22000</v>
      </c>
      <c r="M598" s="22">
        <f>Table4[[#This Row],[total_cost_npr]]/Table4[[#This Row],[pv_kWp]]</f>
        <v>18333.333333333336</v>
      </c>
      <c r="N598" s="1"/>
      <c r="O598" s="1"/>
      <c r="P598" s="1"/>
      <c r="Q598" s="1"/>
      <c r="R598" s="1"/>
      <c r="S598" s="1">
        <v>1.2</v>
      </c>
      <c r="T598" s="1">
        <v>1.2</v>
      </c>
      <c r="U598" s="1"/>
      <c r="V598" s="1"/>
      <c r="W598" s="1"/>
      <c r="X598" s="1"/>
      <c r="Y598" s="1"/>
      <c r="Z598" s="1"/>
      <c r="AA598" s="1"/>
      <c r="AB598" s="1"/>
      <c r="AC598" s="1"/>
      <c r="AD598" s="1"/>
      <c r="AE598" s="1"/>
      <c r="AF598" s="1"/>
      <c r="AG598" s="1"/>
      <c r="AH598" s="6"/>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t="s">
        <v>563</v>
      </c>
    </row>
    <row r="599" spans="1:63" ht="44" thickBot="1" x14ac:dyDescent="0.25">
      <c r="A599" s="3">
        <v>599</v>
      </c>
      <c r="B599" s="3" t="s">
        <v>575</v>
      </c>
      <c r="C599" s="3" t="s">
        <v>582</v>
      </c>
      <c r="D599" s="1" t="s">
        <v>524</v>
      </c>
      <c r="E599" s="1"/>
      <c r="F599" s="1"/>
      <c r="G599" s="1" t="s">
        <v>51</v>
      </c>
      <c r="H599" s="1" t="s">
        <v>91</v>
      </c>
      <c r="I599" s="1"/>
      <c r="J599" s="113">
        <f>Table4[[#This Row],[total_cost_npr]]*(1/'Calculations &amp; Assumptions'!$C$6)</f>
        <v>1150.8852963818322</v>
      </c>
      <c r="K599" s="113">
        <f>Table4[[#This Row],[system_cost_npr_per_kwp]]*(1/'Calculations &amp; Assumptions'!$C$6)</f>
        <v>239.76777007954837</v>
      </c>
      <c r="L599" s="22">
        <v>149500</v>
      </c>
      <c r="M599" s="22">
        <f>Table4[[#This Row],[total_cost_npr]]/Table4[[#This Row],[pv_kWp]]</f>
        <v>31145.833333333336</v>
      </c>
      <c r="N599" s="1"/>
      <c r="O599" s="1"/>
      <c r="P599" s="1"/>
      <c r="Q599" s="1"/>
      <c r="R599" s="1"/>
      <c r="S599" s="1">
        <v>4.8</v>
      </c>
      <c r="T599" s="1">
        <v>4.8</v>
      </c>
      <c r="U599" s="1"/>
      <c r="V599" s="1"/>
      <c r="W599" s="1"/>
      <c r="X599" s="1"/>
      <c r="Y599" s="1"/>
      <c r="Z599" s="1"/>
      <c r="AA599" s="1"/>
      <c r="AB599" s="1"/>
      <c r="AC599" s="1"/>
      <c r="AD599" s="1"/>
      <c r="AE599" s="1"/>
      <c r="AF599" s="1"/>
      <c r="AG599" s="1"/>
      <c r="AH599" s="6"/>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t="s">
        <v>563</v>
      </c>
    </row>
    <row r="600" spans="1:63" ht="44" thickBot="1" x14ac:dyDescent="0.25">
      <c r="A600" s="3">
        <v>600</v>
      </c>
      <c r="B600" s="3" t="s">
        <v>575</v>
      </c>
      <c r="C600" s="3" t="s">
        <v>582</v>
      </c>
      <c r="D600" s="1" t="s">
        <v>524</v>
      </c>
      <c r="E600" s="1"/>
      <c r="F600" s="1"/>
      <c r="G600" s="1" t="s">
        <v>51</v>
      </c>
      <c r="H600" s="1" t="s">
        <v>91</v>
      </c>
      <c r="I600" s="1"/>
      <c r="J600" s="113">
        <f>Table4[[#This Row],[total_cost_npr]]*(1/'Calculations &amp; Assumptions'!$C$6)</f>
        <v>500.38491147036177</v>
      </c>
      <c r="K600" s="113">
        <f>Table4[[#This Row],[system_cost_npr_per_kwp]]*(1/'Calculations &amp; Assumptions'!$C$6)</f>
        <v>500.38491147036177</v>
      </c>
      <c r="L600" s="22">
        <v>65000</v>
      </c>
      <c r="M600" s="22">
        <f>Table4[[#This Row],[total_cost_npr]]/Table4[[#This Row],[pv_kWp]]</f>
        <v>65000</v>
      </c>
      <c r="N600" s="1"/>
      <c r="O600" s="1"/>
      <c r="P600" s="1"/>
      <c r="Q600" s="1"/>
      <c r="R600" s="1"/>
      <c r="S600" s="1">
        <v>1</v>
      </c>
      <c r="T600" s="1">
        <v>1</v>
      </c>
      <c r="U600" s="1"/>
      <c r="V600" s="1"/>
      <c r="W600" s="1"/>
      <c r="X600" s="1"/>
      <c r="Y600" s="1"/>
      <c r="Z600" s="1"/>
      <c r="AA600" s="1"/>
      <c r="AB600" s="1"/>
      <c r="AC600" s="1"/>
      <c r="AD600" s="1"/>
      <c r="AE600" s="1"/>
      <c r="AF600" s="1"/>
      <c r="AG600" s="1"/>
      <c r="AH600" s="6"/>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t="s">
        <v>563</v>
      </c>
    </row>
    <row r="601" spans="1:63" ht="44" thickBot="1" x14ac:dyDescent="0.25">
      <c r="A601" s="3">
        <v>601</v>
      </c>
      <c r="B601" s="3" t="s">
        <v>575</v>
      </c>
      <c r="C601" s="3" t="s">
        <v>582</v>
      </c>
      <c r="D601" s="1" t="s">
        <v>524</v>
      </c>
      <c r="E601" s="1"/>
      <c r="F601" s="1"/>
      <c r="G601" s="1" t="s">
        <v>51</v>
      </c>
      <c r="H601" s="1" t="s">
        <v>91</v>
      </c>
      <c r="I601" s="1"/>
      <c r="J601" s="113">
        <f>Table4[[#This Row],[total_cost_npr]]*(1/'Calculations &amp; Assumptions'!$C$6)</f>
        <v>431.60123171670512</v>
      </c>
      <c r="K601" s="113">
        <f>Table4[[#This Row],[system_cost_npr_per_kwp]]*(1/'Calculations &amp; Assumptions'!$C$6)</f>
        <v>359.6676930972543</v>
      </c>
      <c r="L601" s="22">
        <v>56065</v>
      </c>
      <c r="M601" s="22">
        <f>Table4[[#This Row],[total_cost_npr]]/Table4[[#This Row],[pv_kWp]]</f>
        <v>46720.833333333336</v>
      </c>
      <c r="N601" s="1"/>
      <c r="O601" s="1"/>
      <c r="P601" s="1"/>
      <c r="Q601" s="1"/>
      <c r="R601" s="1"/>
      <c r="S601" s="1">
        <v>1.2</v>
      </c>
      <c r="T601" s="1">
        <v>1.2</v>
      </c>
      <c r="U601" s="1"/>
      <c r="V601" s="1"/>
      <c r="W601" s="1"/>
      <c r="X601" s="1"/>
      <c r="Y601" s="1"/>
      <c r="Z601" s="1"/>
      <c r="AA601" s="1"/>
      <c r="AB601" s="1"/>
      <c r="AC601" s="1"/>
      <c r="AD601" s="1"/>
      <c r="AE601" s="1"/>
      <c r="AF601" s="1"/>
      <c r="AG601" s="1"/>
      <c r="AH601" s="6"/>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t="s">
        <v>563</v>
      </c>
    </row>
    <row r="602" spans="1:63" ht="44" thickBot="1" x14ac:dyDescent="0.25">
      <c r="A602" s="3">
        <v>602</v>
      </c>
      <c r="B602" s="3" t="s">
        <v>575</v>
      </c>
      <c r="C602" s="3" t="s">
        <v>582</v>
      </c>
      <c r="D602" s="1" t="s">
        <v>524</v>
      </c>
      <c r="E602" s="1"/>
      <c r="F602" s="1"/>
      <c r="G602" s="1" t="s">
        <v>51</v>
      </c>
      <c r="H602" s="1" t="s">
        <v>92</v>
      </c>
      <c r="I602" s="1" t="s">
        <v>576</v>
      </c>
      <c r="J602" s="113">
        <f>Table4[[#This Row],[total_cost_npr]]*(1/'Calculations &amp; Assumptions'!$C$6)</f>
        <v>389.72286374133944</v>
      </c>
      <c r="K602" s="113">
        <f>Table4[[#This Row],[system_cost_npr_per_kwp]]*(1/'Calculations &amp; Assumptions'!$C$6)</f>
        <v>48.71535796766743</v>
      </c>
      <c r="L602" s="22">
        <v>50625</v>
      </c>
      <c r="M602" s="22">
        <f>Table4[[#This Row],[total_cost_npr]]/Table4[[#This Row],[pv_kWp]]</f>
        <v>6328.125</v>
      </c>
      <c r="N602" s="1"/>
      <c r="O602" s="1"/>
      <c r="P602" s="1"/>
      <c r="Q602" s="1"/>
      <c r="R602" s="1"/>
      <c r="S602" s="1">
        <v>8</v>
      </c>
      <c r="T602" s="1">
        <v>8</v>
      </c>
      <c r="U602" s="1"/>
      <c r="V602" s="1"/>
      <c r="W602" s="1"/>
      <c r="X602" s="1"/>
      <c r="Y602" s="1"/>
      <c r="Z602" s="1"/>
      <c r="AA602" s="1"/>
      <c r="AB602" s="1"/>
      <c r="AC602" s="1"/>
      <c r="AD602" s="1"/>
      <c r="AE602" s="1"/>
      <c r="AF602" s="1"/>
      <c r="AG602" s="1"/>
      <c r="AH602" s="6"/>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t="s">
        <v>563</v>
      </c>
    </row>
    <row r="603" spans="1:63" ht="44" thickBot="1" x14ac:dyDescent="0.25">
      <c r="A603" s="3">
        <v>603</v>
      </c>
      <c r="B603" s="3" t="s">
        <v>575</v>
      </c>
      <c r="C603" s="3" t="s">
        <v>582</v>
      </c>
      <c r="D603" s="1" t="s">
        <v>524</v>
      </c>
      <c r="E603" s="1"/>
      <c r="F603" s="1"/>
      <c r="G603" s="1" t="s">
        <v>51</v>
      </c>
      <c r="H603" s="1" t="s">
        <v>92</v>
      </c>
      <c r="I603" s="1" t="s">
        <v>577</v>
      </c>
      <c r="J603" s="113">
        <f>Table4[[#This Row],[total_cost_npr]]*(1/'Calculations &amp; Assumptions'!$C$6)</f>
        <v>4580.4464973056192</v>
      </c>
      <c r="K603" s="113">
        <f>Table4[[#This Row],[system_cost_npr_per_kwp]]*(1/'Calculations &amp; Assumptions'!$C$6)</f>
        <v>381.70387477546831</v>
      </c>
      <c r="L603" s="22">
        <v>595000</v>
      </c>
      <c r="M603" s="22">
        <f>Table4[[#This Row],[total_cost_npr]]/Table4[[#This Row],[pv_kWp]]</f>
        <v>49583.333333333336</v>
      </c>
      <c r="N603" s="1"/>
      <c r="O603" s="1"/>
      <c r="P603" s="1"/>
      <c r="Q603" s="1"/>
      <c r="R603" s="1"/>
      <c r="S603" s="1">
        <v>12</v>
      </c>
      <c r="T603" s="1">
        <v>12</v>
      </c>
      <c r="U603" s="1"/>
      <c r="V603" s="1"/>
      <c r="W603" s="1"/>
      <c r="X603" s="1"/>
      <c r="Y603" s="1"/>
      <c r="Z603" s="1"/>
      <c r="AA603" s="1"/>
      <c r="AB603" s="1"/>
      <c r="AC603" s="1"/>
      <c r="AD603" s="1"/>
      <c r="AE603" s="1"/>
      <c r="AF603" s="1"/>
      <c r="AG603" s="1"/>
      <c r="AH603" s="6"/>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t="s">
        <v>563</v>
      </c>
    </row>
    <row r="604" spans="1:63" ht="44" thickBot="1" x14ac:dyDescent="0.25">
      <c r="A604" s="3">
        <v>604</v>
      </c>
      <c r="B604" s="3" t="s">
        <v>575</v>
      </c>
      <c r="C604" s="3" t="s">
        <v>582</v>
      </c>
      <c r="D604" s="1" t="s">
        <v>524</v>
      </c>
      <c r="E604" s="1"/>
      <c r="F604" s="1"/>
      <c r="G604" s="1" t="s">
        <v>51</v>
      </c>
      <c r="H604" s="1" t="s">
        <v>92</v>
      </c>
      <c r="I604" s="1" t="s">
        <v>578</v>
      </c>
      <c r="J604" s="113">
        <f>Table4[[#This Row],[total_cost_npr]]*(1/'Calculations &amp; Assumptions'!$C$6)</f>
        <v>2700.1539645881444</v>
      </c>
      <c r="K604" s="113">
        <f>Table4[[#This Row],[system_cost_npr_per_kwp]]*(1/'Calculations &amp; Assumptions'!$C$6)</f>
        <v>675.0384911470361</v>
      </c>
      <c r="L604" s="22">
        <v>350750</v>
      </c>
      <c r="M604" s="22">
        <f>Table4[[#This Row],[total_cost_npr]]/Table4[[#This Row],[pv_kWp]]</f>
        <v>87687.5</v>
      </c>
      <c r="N604" s="1"/>
      <c r="O604" s="1"/>
      <c r="P604" s="1"/>
      <c r="Q604" s="1"/>
      <c r="R604" s="1"/>
      <c r="S604" s="1">
        <v>4</v>
      </c>
      <c r="T604" s="1">
        <v>4</v>
      </c>
      <c r="U604" s="1"/>
      <c r="V604" s="1"/>
      <c r="W604" s="1"/>
      <c r="X604" s="1"/>
      <c r="Y604" s="1"/>
      <c r="Z604" s="1"/>
      <c r="AA604" s="1"/>
      <c r="AB604" s="1"/>
      <c r="AC604" s="1"/>
      <c r="AD604" s="1"/>
      <c r="AE604" s="1"/>
      <c r="AF604" s="1"/>
      <c r="AG604" s="1"/>
      <c r="AH604" s="6"/>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t="s">
        <v>563</v>
      </c>
    </row>
    <row r="605" spans="1:63" ht="44" thickBot="1" x14ac:dyDescent="0.25">
      <c r="A605" s="3">
        <v>605</v>
      </c>
      <c r="B605" s="3" t="s">
        <v>575</v>
      </c>
      <c r="C605" s="3" t="s">
        <v>582</v>
      </c>
      <c r="D605" s="1" t="s">
        <v>524</v>
      </c>
      <c r="E605" s="1"/>
      <c r="F605" s="1"/>
      <c r="G605" s="1" t="s">
        <v>51</v>
      </c>
      <c r="H605" s="1" t="s">
        <v>81</v>
      </c>
      <c r="I605" s="1"/>
      <c r="J605" s="113">
        <f>Table4[[#This Row],[total_cost_npr]]*(1/'Calculations &amp; Assumptions'!$C$6)</f>
        <v>423.40261739799843</v>
      </c>
      <c r="K605" s="113">
        <f>Table4[[#This Row],[system_cost_npr_per_kwp]]*(1/'Calculations &amp; Assumptions'!$C$6)</f>
        <v>141.13420579933279</v>
      </c>
      <c r="L605" s="22">
        <v>55000</v>
      </c>
      <c r="M605" s="22">
        <f>Table4[[#This Row],[total_cost_npr]]/Table4[[#This Row],[pv_kWp]]</f>
        <v>18333.333333333332</v>
      </c>
      <c r="N605" s="1"/>
      <c r="O605" s="1"/>
      <c r="P605" s="1"/>
      <c r="Q605" s="1"/>
      <c r="R605" s="1"/>
      <c r="S605" s="1">
        <v>3</v>
      </c>
      <c r="T605" s="1">
        <v>3</v>
      </c>
      <c r="U605" s="1"/>
      <c r="V605" s="1"/>
      <c r="W605" s="1"/>
      <c r="X605" s="1"/>
      <c r="Y605" s="1"/>
      <c r="Z605" s="1"/>
      <c r="AA605" s="1"/>
      <c r="AB605" s="1"/>
      <c r="AC605" s="1"/>
      <c r="AD605" s="1"/>
      <c r="AE605" s="1"/>
      <c r="AF605" s="1"/>
      <c r="AG605" s="1"/>
      <c r="AH605" s="6"/>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t="s">
        <v>563</v>
      </c>
    </row>
    <row r="606" spans="1:63" ht="44" thickBot="1" x14ac:dyDescent="0.25">
      <c r="A606" s="3">
        <v>606</v>
      </c>
      <c r="B606" s="3" t="s">
        <v>575</v>
      </c>
      <c r="C606" s="3" t="s">
        <v>582</v>
      </c>
      <c r="D606" s="1" t="s">
        <v>524</v>
      </c>
      <c r="E606" s="1"/>
      <c r="F606" s="1"/>
      <c r="G606" s="1" t="s">
        <v>51</v>
      </c>
      <c r="H606" s="1" t="s">
        <v>81</v>
      </c>
      <c r="I606" s="1"/>
      <c r="J606" s="113">
        <f>Table4[[#This Row],[total_cost_npr]]*(1/'Calculations &amp; Assumptions'!$C$6)</f>
        <v>692.84064665127016</v>
      </c>
      <c r="K606" s="113">
        <f>Table4[[#This Row],[system_cost_npr_per_kwp]]*(1/'Calculations &amp; Assumptions'!$C$6)</f>
        <v>138.56812933025404</v>
      </c>
      <c r="L606" s="22">
        <v>90000</v>
      </c>
      <c r="M606" s="22">
        <f>Table4[[#This Row],[total_cost_npr]]/Table4[[#This Row],[pv_kWp]]</f>
        <v>18000</v>
      </c>
      <c r="N606" s="1"/>
      <c r="O606" s="1"/>
      <c r="P606" s="1"/>
      <c r="Q606" s="1"/>
      <c r="R606" s="1"/>
      <c r="S606" s="1">
        <v>5</v>
      </c>
      <c r="T606" s="1">
        <v>5</v>
      </c>
      <c r="U606" s="1"/>
      <c r="V606" s="1"/>
      <c r="W606" s="1"/>
      <c r="X606" s="1"/>
      <c r="Y606" s="1"/>
      <c r="Z606" s="1"/>
      <c r="AA606" s="1"/>
      <c r="AB606" s="1"/>
      <c r="AC606" s="1"/>
      <c r="AD606" s="1"/>
      <c r="AE606" s="1"/>
      <c r="AF606" s="1"/>
      <c r="AG606" s="1"/>
      <c r="AH606" s="6"/>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t="s">
        <v>563</v>
      </c>
    </row>
    <row r="607" spans="1:63" ht="44" thickBot="1" x14ac:dyDescent="0.25">
      <c r="A607" s="3">
        <v>607</v>
      </c>
      <c r="B607" s="3" t="s">
        <v>575</v>
      </c>
      <c r="C607" s="3" t="s">
        <v>582</v>
      </c>
      <c r="D607" s="1" t="s">
        <v>524</v>
      </c>
      <c r="E607" s="1"/>
      <c r="F607" s="1"/>
      <c r="G607" s="1" t="s">
        <v>51</v>
      </c>
      <c r="H607" s="1" t="s">
        <v>81</v>
      </c>
      <c r="I607" s="1"/>
      <c r="J607" s="113">
        <f>Table4[[#This Row],[total_cost_npr]]*(1/'Calculations &amp; Assumptions'!$C$6)</f>
        <v>1539.6458814472669</v>
      </c>
      <c r="K607" s="113">
        <f>Table4[[#This Row],[system_cost_npr_per_kwp]]*(1/'Calculations &amp; Assumptions'!$C$6)</f>
        <v>153.96458814472669</v>
      </c>
      <c r="L607" s="22">
        <v>200000</v>
      </c>
      <c r="M607" s="22">
        <f>Table4[[#This Row],[total_cost_npr]]/Table4[[#This Row],[pv_kWp]]</f>
        <v>20000</v>
      </c>
      <c r="N607" s="1"/>
      <c r="O607" s="1"/>
      <c r="P607" s="1"/>
      <c r="Q607" s="1"/>
      <c r="R607" s="1"/>
      <c r="S607" s="1">
        <v>10</v>
      </c>
      <c r="T607" s="1">
        <v>10</v>
      </c>
      <c r="U607" s="1"/>
      <c r="V607" s="1"/>
      <c r="W607" s="1"/>
      <c r="X607" s="1"/>
      <c r="Y607" s="1"/>
      <c r="Z607" s="1"/>
      <c r="AA607" s="1"/>
      <c r="AB607" s="1"/>
      <c r="AC607" s="1"/>
      <c r="AD607" s="1"/>
      <c r="AE607" s="1"/>
      <c r="AF607" s="1"/>
      <c r="AG607" s="1"/>
      <c r="AH607" s="6"/>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t="s">
        <v>563</v>
      </c>
    </row>
    <row r="608" spans="1:63" ht="44" thickBot="1" x14ac:dyDescent="0.25">
      <c r="A608" s="3">
        <v>608</v>
      </c>
      <c r="B608" s="3" t="s">
        <v>575</v>
      </c>
      <c r="C608" s="3" t="s">
        <v>582</v>
      </c>
      <c r="D608" s="1" t="s">
        <v>524</v>
      </c>
      <c r="E608" s="1"/>
      <c r="F608" s="1"/>
      <c r="G608" s="1" t="s">
        <v>51</v>
      </c>
      <c r="H608" s="1" t="s">
        <v>81</v>
      </c>
      <c r="I608" s="1"/>
      <c r="J608" s="113">
        <f>Table4[[#This Row],[total_cost_npr]]*(1/'Calculations &amp; Assumptions'!$C$6)</f>
        <v>2001.5396458814471</v>
      </c>
      <c r="K608" s="113">
        <f>Table4[[#This Row],[system_cost_npr_per_kwp]]*(1/'Calculations &amp; Assumptions'!$C$6)</f>
        <v>133.43597639209645</v>
      </c>
      <c r="L608" s="22">
        <v>260000</v>
      </c>
      <c r="M608" s="22">
        <f>Table4[[#This Row],[total_cost_npr]]/Table4[[#This Row],[pv_kWp]]</f>
        <v>17333.333333333332</v>
      </c>
      <c r="N608" s="1"/>
      <c r="O608" s="1"/>
      <c r="P608" s="1"/>
      <c r="Q608" s="1"/>
      <c r="R608" s="1"/>
      <c r="S608" s="1">
        <v>15</v>
      </c>
      <c r="T608" s="1">
        <v>15</v>
      </c>
      <c r="U608" s="1"/>
      <c r="V608" s="1"/>
      <c r="W608" s="1"/>
      <c r="X608" s="1"/>
      <c r="Y608" s="1"/>
      <c r="Z608" s="1"/>
      <c r="AA608" s="1"/>
      <c r="AB608" s="1"/>
      <c r="AC608" s="1"/>
      <c r="AD608" s="1"/>
      <c r="AE608" s="1"/>
      <c r="AF608" s="1"/>
      <c r="AG608" s="1"/>
      <c r="AH608" s="6"/>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t="s">
        <v>563</v>
      </c>
    </row>
    <row r="609" spans="1:63" ht="44" thickBot="1" x14ac:dyDescent="0.25">
      <c r="A609" s="3">
        <v>609</v>
      </c>
      <c r="B609" s="3" t="s">
        <v>575</v>
      </c>
      <c r="C609" s="3" t="s">
        <v>582</v>
      </c>
      <c r="D609" s="1" t="s">
        <v>524</v>
      </c>
      <c r="E609" s="1"/>
      <c r="F609" s="1"/>
      <c r="G609" s="1" t="s">
        <v>51</v>
      </c>
      <c r="H609" s="1" t="s">
        <v>81</v>
      </c>
      <c r="I609" s="1"/>
      <c r="J609" s="113">
        <f>Table4[[#This Row],[total_cost_npr]]*(1/'Calculations &amp; Assumptions'!$C$6)</f>
        <v>3079.2917628945338</v>
      </c>
      <c r="K609" s="113">
        <f>Table4[[#This Row],[system_cost_npr_per_kwp]]*(1/'Calculations &amp; Assumptions'!$C$6)</f>
        <v>123.17167051578136</v>
      </c>
      <c r="L609" s="22">
        <v>400000</v>
      </c>
      <c r="M609" s="22">
        <f>Table4[[#This Row],[total_cost_npr]]/Table4[[#This Row],[pv_kWp]]</f>
        <v>16000</v>
      </c>
      <c r="N609" s="1"/>
      <c r="O609" s="1"/>
      <c r="P609" s="1"/>
      <c r="Q609" s="1"/>
      <c r="R609" s="1"/>
      <c r="S609" s="1">
        <v>25</v>
      </c>
      <c r="T609" s="1">
        <v>25</v>
      </c>
      <c r="U609" s="1"/>
      <c r="V609" s="1"/>
      <c r="W609" s="1"/>
      <c r="X609" s="1"/>
      <c r="Y609" s="1"/>
      <c r="Z609" s="1"/>
      <c r="AA609" s="1"/>
      <c r="AB609" s="1"/>
      <c r="AC609" s="1"/>
      <c r="AD609" s="1"/>
      <c r="AE609" s="1"/>
      <c r="AF609" s="1"/>
      <c r="AG609" s="1"/>
      <c r="AH609" s="6"/>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t="s">
        <v>563</v>
      </c>
    </row>
    <row r="610" spans="1:63" ht="44" thickBot="1" x14ac:dyDescent="0.25">
      <c r="A610" s="3">
        <v>610</v>
      </c>
      <c r="B610" s="3" t="s">
        <v>579</v>
      </c>
      <c r="C610" s="3" t="s">
        <v>582</v>
      </c>
      <c r="D610" s="1" t="s">
        <v>524</v>
      </c>
      <c r="E610" s="1"/>
      <c r="F610" s="1"/>
      <c r="G610" s="1" t="s">
        <v>51</v>
      </c>
      <c r="H610" s="1" t="s">
        <v>58</v>
      </c>
      <c r="I610" s="1"/>
      <c r="J610" s="113">
        <f>Table4[[#This Row],[total_cost_npr]]*(1/'Calculations &amp; Assumptions'!$C$6)</f>
        <v>369.5150115473441</v>
      </c>
      <c r="K610" s="113">
        <f>Table4[[#This Row],[system_cost_npr_per_kwp]]*(1/'Calculations &amp; Assumptions'!$C$6)</f>
        <v>369.5150115473441</v>
      </c>
      <c r="L610" s="22">
        <v>48000</v>
      </c>
      <c r="M610" s="22">
        <f>Table4[[#This Row],[total_cost_npr]]/Table4[[#This Row],[pv_kWp]]</f>
        <v>48000</v>
      </c>
      <c r="N610" s="1"/>
      <c r="O610" s="1"/>
      <c r="P610" s="1"/>
      <c r="Q610" s="1"/>
      <c r="R610" s="1"/>
      <c r="S610" s="1"/>
      <c r="T610" s="1">
        <v>1</v>
      </c>
      <c r="U610" s="1"/>
      <c r="V610" s="1"/>
      <c r="W610" s="1"/>
      <c r="X610" s="1"/>
      <c r="Y610" s="1"/>
      <c r="Z610" s="1"/>
      <c r="AA610" s="1"/>
      <c r="AB610" s="1"/>
      <c r="AC610" s="1"/>
      <c r="AD610" s="1"/>
      <c r="AE610" s="1"/>
      <c r="AF610" s="1"/>
      <c r="AG610" s="1"/>
      <c r="AH610" s="6"/>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t="s">
        <v>563</v>
      </c>
    </row>
    <row r="611" spans="1:63" ht="44" thickBot="1" x14ac:dyDescent="0.25">
      <c r="A611" s="3">
        <v>611</v>
      </c>
      <c r="B611" s="3" t="s">
        <v>579</v>
      </c>
      <c r="C611" s="3" t="s">
        <v>582</v>
      </c>
      <c r="D611" s="1" t="s">
        <v>524</v>
      </c>
      <c r="E611" s="1"/>
      <c r="F611" s="1"/>
      <c r="G611" s="1" t="s">
        <v>51</v>
      </c>
      <c r="H611" s="1" t="s">
        <v>447</v>
      </c>
      <c r="I611" s="1"/>
      <c r="J611" s="113">
        <f>Table4[[#This Row],[total_cost_npr]]*(1/'Calculations &amp; Assumptions'!$C$6)</f>
        <v>153.96458814472669</v>
      </c>
      <c r="K611" s="113">
        <f>Table4[[#This Row],[system_cost_npr_per_kwp]]*(1/'Calculations &amp; Assumptions'!$C$6)</f>
        <v>153.96458814472669</v>
      </c>
      <c r="L611" s="22">
        <v>20000</v>
      </c>
      <c r="M611" s="22">
        <f>Table4[[#This Row],[total_cost_npr]]/Table4[[#This Row],[pv_kWp]]</f>
        <v>20000</v>
      </c>
      <c r="N611" s="1"/>
      <c r="O611" s="1"/>
      <c r="P611" s="1"/>
      <c r="Q611" s="1"/>
      <c r="R611" s="1"/>
      <c r="S611" s="1"/>
      <c r="T611" s="1">
        <v>1</v>
      </c>
      <c r="U611" s="1"/>
      <c r="V611" s="1"/>
      <c r="W611" s="1"/>
      <c r="X611" s="1"/>
      <c r="Y611" s="1"/>
      <c r="Z611" s="1"/>
      <c r="AA611" s="1"/>
      <c r="AB611" s="1"/>
      <c r="AC611" s="1"/>
      <c r="AD611" s="1"/>
      <c r="AE611" s="1"/>
      <c r="AF611" s="1"/>
      <c r="AG611" s="1"/>
      <c r="AH611" s="6"/>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t="s">
        <v>563</v>
      </c>
    </row>
    <row r="612" spans="1:63" ht="44" thickBot="1" x14ac:dyDescent="0.25">
      <c r="A612" s="3">
        <v>612</v>
      </c>
      <c r="B612" s="3" t="s">
        <v>579</v>
      </c>
      <c r="C612" s="3" t="s">
        <v>582</v>
      </c>
      <c r="D612" s="1" t="s">
        <v>524</v>
      </c>
      <c r="E612" s="1"/>
      <c r="F612" s="1"/>
      <c r="G612" s="1" t="s">
        <v>51</v>
      </c>
      <c r="H612" s="1" t="s">
        <v>81</v>
      </c>
      <c r="I612" s="1"/>
      <c r="J612" s="113">
        <f>Table4[[#This Row],[total_cost_npr]]*(1/'Calculations &amp; Assumptions'!$C$6)</f>
        <v>261.7397998460354</v>
      </c>
      <c r="K612" s="113">
        <f>Table4[[#This Row],[system_cost_npr_per_kwp]]*(1/'Calculations &amp; Assumptions'!$C$6)</f>
        <v>261.7397998460354</v>
      </c>
      <c r="L612" s="22">
        <v>34000</v>
      </c>
      <c r="M612" s="22">
        <f>Table4[[#This Row],[total_cost_npr]]/Table4[[#This Row],[pv_kWp]]</f>
        <v>34000</v>
      </c>
      <c r="N612" s="1"/>
      <c r="O612" s="1"/>
      <c r="P612" s="1"/>
      <c r="Q612" s="1"/>
      <c r="R612" s="1"/>
      <c r="S612" s="1"/>
      <c r="T612" s="1">
        <v>1</v>
      </c>
      <c r="U612" s="1"/>
      <c r="V612" s="1"/>
      <c r="W612" s="1"/>
      <c r="X612" s="1"/>
      <c r="Y612" s="1"/>
      <c r="Z612" s="1"/>
      <c r="AA612" s="1"/>
      <c r="AB612" s="1"/>
      <c r="AC612" s="1"/>
      <c r="AD612" s="1"/>
      <c r="AE612" s="1"/>
      <c r="AF612" s="1"/>
      <c r="AG612" s="1"/>
      <c r="AH612" s="6"/>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t="s">
        <v>563</v>
      </c>
    </row>
    <row r="613" spans="1:63" ht="44" thickBot="1" x14ac:dyDescent="0.25">
      <c r="A613" s="3">
        <v>613</v>
      </c>
      <c r="B613" s="3" t="s">
        <v>579</v>
      </c>
      <c r="C613" s="3" t="s">
        <v>582</v>
      </c>
      <c r="D613" s="1" t="s">
        <v>524</v>
      </c>
      <c r="E613" s="1"/>
      <c r="F613" s="1"/>
      <c r="G613" s="1" t="s">
        <v>51</v>
      </c>
      <c r="H613" s="1" t="s">
        <v>113</v>
      </c>
      <c r="I613" s="1"/>
      <c r="J613" s="113">
        <f>Table4[[#This Row],[total_cost_npr]]*(1/'Calculations &amp; Assumptions'!$C$6)</f>
        <v>257.15935334872978</v>
      </c>
      <c r="K613" s="113">
        <f>Table4[[#This Row],[system_cost_npr_per_kwp]]*(1/'Calculations &amp; Assumptions'!$C$6)</f>
        <v>257.15935334872978</v>
      </c>
      <c r="L613" s="22">
        <v>33405</v>
      </c>
      <c r="M613" s="22">
        <f>Table4[[#This Row],[total_cost_npr]]/Table4[[#This Row],[pv_kWp]]</f>
        <v>33405</v>
      </c>
      <c r="N613" s="1"/>
      <c r="O613" s="1"/>
      <c r="P613" s="1"/>
      <c r="Q613" s="1"/>
      <c r="R613" s="1"/>
      <c r="S613" s="1"/>
      <c r="T613" s="1">
        <v>1</v>
      </c>
      <c r="U613" s="1"/>
      <c r="V613" s="1"/>
      <c r="W613" s="1"/>
      <c r="X613" s="1"/>
      <c r="Y613" s="1"/>
      <c r="Z613" s="1"/>
      <c r="AA613" s="1"/>
      <c r="AB613" s="1"/>
      <c r="AC613" s="1"/>
      <c r="AD613" s="1"/>
      <c r="AE613" s="1"/>
      <c r="AF613" s="1"/>
      <c r="AG613" s="1"/>
      <c r="AH613" s="6"/>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t="s">
        <v>563</v>
      </c>
    </row>
    <row r="614" spans="1:63" ht="44" thickBot="1" x14ac:dyDescent="0.25">
      <c r="A614" s="3">
        <v>614</v>
      </c>
      <c r="B614" s="3" t="s">
        <v>579</v>
      </c>
      <c r="C614" s="3" t="s">
        <v>582</v>
      </c>
      <c r="D614" s="1" t="s">
        <v>524</v>
      </c>
      <c r="E614" s="1"/>
      <c r="F614" s="1"/>
      <c r="G614" s="1" t="s">
        <v>51</v>
      </c>
      <c r="H614" s="1" t="s">
        <v>92</v>
      </c>
      <c r="I614" s="1"/>
      <c r="J614" s="113">
        <f>Table4[[#This Row],[total_cost_npr]]*(1/'Calculations &amp; Assumptions'!$C$6)</f>
        <v>872.74826789838335</v>
      </c>
      <c r="K614" s="113">
        <f>Table4[[#This Row],[system_cost_npr_per_kwp]]*(1/'Calculations &amp; Assumptions'!$C$6)</f>
        <v>872.74826789838335</v>
      </c>
      <c r="L614" s="22">
        <v>113370</v>
      </c>
      <c r="M614" s="22">
        <f>Table4[[#This Row],[total_cost_npr]]/Table4[[#This Row],[pv_kWp]]</f>
        <v>113370</v>
      </c>
      <c r="N614" s="1"/>
      <c r="O614" s="1"/>
      <c r="P614" s="1"/>
      <c r="Q614" s="1"/>
      <c r="R614" s="1"/>
      <c r="S614" s="1"/>
      <c r="T614" s="1">
        <v>1</v>
      </c>
      <c r="U614" s="1"/>
      <c r="V614" s="1"/>
      <c r="W614" s="1"/>
      <c r="X614" s="1"/>
      <c r="Y614" s="1"/>
      <c r="Z614" s="1"/>
      <c r="AA614" s="1"/>
      <c r="AB614" s="1"/>
      <c r="AC614" s="1"/>
      <c r="AD614" s="1"/>
      <c r="AE614" s="1"/>
      <c r="AF614" s="1"/>
      <c r="AG614" s="1"/>
      <c r="AH614" s="6"/>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t="s">
        <v>563</v>
      </c>
    </row>
    <row r="615" spans="1:63" ht="44" thickBot="1" x14ac:dyDescent="0.25">
      <c r="A615" s="3">
        <v>615</v>
      </c>
      <c r="B615" s="3" t="s">
        <v>580</v>
      </c>
      <c r="C615" s="3" t="s">
        <v>582</v>
      </c>
      <c r="D615" s="1" t="s">
        <v>524</v>
      </c>
      <c r="E615" s="1"/>
      <c r="F615" s="1"/>
      <c r="G615" s="1" t="s">
        <v>51</v>
      </c>
      <c r="H615" s="1" t="s">
        <v>58</v>
      </c>
      <c r="I615" s="1"/>
      <c r="J615" s="113">
        <f>Table4[[#This Row],[total_cost_npr]]*(1/'Calculations &amp; Assumptions'!$C$6)</f>
        <v>294.68822170900688</v>
      </c>
      <c r="K615" s="113">
        <f>Table4[[#This Row],[system_cost_npr_per_kwp]]*(1/'Calculations &amp; Assumptions'!$C$6)</f>
        <v>294.68822170900688</v>
      </c>
      <c r="L615" s="22">
        <v>38280</v>
      </c>
      <c r="M615" s="22">
        <f>Table4[[#This Row],[total_cost_npr]]/Table4[[#This Row],[pv_kWp]]</f>
        <v>38280</v>
      </c>
      <c r="N615" s="1"/>
      <c r="O615" s="1"/>
      <c r="P615" s="1"/>
      <c r="Q615" s="1"/>
      <c r="R615" s="1"/>
      <c r="S615" s="1"/>
      <c r="T615" s="1">
        <v>1</v>
      </c>
      <c r="U615" s="1"/>
      <c r="V615" s="1"/>
      <c r="W615" s="1"/>
      <c r="X615" s="1"/>
      <c r="Y615" s="1"/>
      <c r="Z615" s="1"/>
      <c r="AA615" s="1"/>
      <c r="AB615" s="1"/>
      <c r="AC615" s="1"/>
      <c r="AD615" s="1"/>
      <c r="AE615" s="1"/>
      <c r="AF615" s="1"/>
      <c r="AG615" s="1"/>
      <c r="AH615" s="6"/>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t="s">
        <v>563</v>
      </c>
    </row>
    <row r="616" spans="1:63" ht="44" thickBot="1" x14ac:dyDescent="0.25">
      <c r="A616" s="3">
        <v>616</v>
      </c>
      <c r="B616" s="3" t="s">
        <v>580</v>
      </c>
      <c r="C616" s="3" t="s">
        <v>582</v>
      </c>
      <c r="D616" s="1" t="s">
        <v>524</v>
      </c>
      <c r="E616" s="1"/>
      <c r="F616" s="1"/>
      <c r="G616" s="1" t="s">
        <v>51</v>
      </c>
      <c r="H616" s="1" t="s">
        <v>447</v>
      </c>
      <c r="I616" s="1"/>
      <c r="J616" s="113">
        <f>Table4[[#This Row],[total_cost_npr]]*(1/'Calculations &amp; Assumptions'!$C$6)</f>
        <v>68.514241724403377</v>
      </c>
      <c r="K616" s="113">
        <f>Table4[[#This Row],[system_cost_npr_per_kwp]]*(1/'Calculations &amp; Assumptions'!$C$6)</f>
        <v>68.514241724403377</v>
      </c>
      <c r="L616" s="22">
        <v>8900</v>
      </c>
      <c r="M616" s="22">
        <f>Table4[[#This Row],[total_cost_npr]]/Table4[[#This Row],[pv_kWp]]</f>
        <v>8900</v>
      </c>
      <c r="N616" s="1"/>
      <c r="O616" s="1"/>
      <c r="P616" s="1"/>
      <c r="Q616" s="1"/>
      <c r="R616" s="1"/>
      <c r="S616" s="1"/>
      <c r="T616" s="1">
        <v>1</v>
      </c>
      <c r="U616" s="1"/>
      <c r="V616" s="1"/>
      <c r="W616" s="1"/>
      <c r="X616" s="1"/>
      <c r="Y616" s="1"/>
      <c r="Z616" s="1"/>
      <c r="AA616" s="1"/>
      <c r="AB616" s="1"/>
      <c r="AC616" s="1"/>
      <c r="AD616" s="1"/>
      <c r="AE616" s="1"/>
      <c r="AF616" s="1"/>
      <c r="AG616" s="1"/>
      <c r="AH616" s="6"/>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t="s">
        <v>563</v>
      </c>
    </row>
    <row r="617" spans="1:63" ht="44" thickBot="1" x14ac:dyDescent="0.25">
      <c r="A617" s="3">
        <v>617</v>
      </c>
      <c r="B617" s="3" t="s">
        <v>580</v>
      </c>
      <c r="C617" s="3" t="s">
        <v>582</v>
      </c>
      <c r="D617" s="1" t="s">
        <v>524</v>
      </c>
      <c r="E617" s="1"/>
      <c r="F617" s="1"/>
      <c r="G617" s="1" t="s">
        <v>51</v>
      </c>
      <c r="H617" s="1" t="s">
        <v>91</v>
      </c>
      <c r="I617" s="1"/>
      <c r="J617" s="113">
        <f>Table4[[#This Row],[total_cost_npr]]*(1/'Calculations &amp; Assumptions'!$C$6)</f>
        <v>692.84064665127016</v>
      </c>
      <c r="K617" s="113">
        <f>Table4[[#This Row],[system_cost_npr_per_kwp]]*(1/'Calculations &amp; Assumptions'!$C$6)</f>
        <v>692.84064665127016</v>
      </c>
      <c r="L617" s="22">
        <v>90000</v>
      </c>
      <c r="M617" s="22">
        <f>Table4[[#This Row],[total_cost_npr]]/Table4[[#This Row],[pv_kWp]]</f>
        <v>90000</v>
      </c>
      <c r="N617" s="1"/>
      <c r="O617" s="1"/>
      <c r="P617" s="1"/>
      <c r="Q617" s="1"/>
      <c r="R617" s="1"/>
      <c r="S617" s="1"/>
      <c r="T617" s="1">
        <v>1</v>
      </c>
      <c r="U617" s="1"/>
      <c r="V617" s="1"/>
      <c r="W617" s="1"/>
      <c r="X617" s="1"/>
      <c r="Y617" s="1"/>
      <c r="Z617" s="1"/>
      <c r="AA617" s="1"/>
      <c r="AB617" s="1"/>
      <c r="AC617" s="1"/>
      <c r="AD617" s="1"/>
      <c r="AE617" s="1"/>
      <c r="AF617" s="1"/>
      <c r="AG617" s="1"/>
      <c r="AH617" s="6"/>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t="s">
        <v>563</v>
      </c>
    </row>
    <row r="618" spans="1:63" ht="44" thickBot="1" x14ac:dyDescent="0.25">
      <c r="A618" s="3">
        <v>618</v>
      </c>
      <c r="B618" s="3" t="s">
        <v>580</v>
      </c>
      <c r="C618" s="3" t="s">
        <v>582</v>
      </c>
      <c r="D618" s="1" t="s">
        <v>524</v>
      </c>
      <c r="E618" s="1"/>
      <c r="F618" s="1"/>
      <c r="G618" s="1" t="s">
        <v>51</v>
      </c>
      <c r="H618" s="1" t="s">
        <v>92</v>
      </c>
      <c r="I618" s="1"/>
      <c r="J618" s="113">
        <f>Table4[[#This Row],[total_cost_npr]]*(1/'Calculations &amp; Assumptions'!$C$6)</f>
        <v>307.92917628945338</v>
      </c>
      <c r="K618" s="113">
        <f>Table4[[#This Row],[system_cost_npr_per_kwp]]*(1/'Calculations &amp; Assumptions'!$C$6)</f>
        <v>307.92917628945338</v>
      </c>
      <c r="L618" s="22">
        <v>40000</v>
      </c>
      <c r="M618" s="22">
        <f>Table4[[#This Row],[total_cost_npr]]/Table4[[#This Row],[pv_kWp]]</f>
        <v>40000</v>
      </c>
      <c r="N618" s="1"/>
      <c r="O618" s="1"/>
      <c r="P618" s="1"/>
      <c r="Q618" s="1"/>
      <c r="R618" s="1"/>
      <c r="S618" s="1"/>
      <c r="T618" s="1">
        <v>1</v>
      </c>
      <c r="U618" s="1"/>
      <c r="V618" s="1"/>
      <c r="W618" s="1"/>
      <c r="X618" s="1"/>
      <c r="Y618" s="1"/>
      <c r="Z618" s="1"/>
      <c r="AA618" s="1"/>
      <c r="AB618" s="1"/>
      <c r="AC618" s="1"/>
      <c r="AD618" s="1"/>
      <c r="AE618" s="1"/>
      <c r="AF618" s="1"/>
      <c r="AG618" s="1"/>
      <c r="AH618" s="6"/>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t="s">
        <v>563</v>
      </c>
    </row>
    <row r="619" spans="1:63" ht="44" thickBot="1" x14ac:dyDescent="0.25">
      <c r="A619" s="3">
        <v>619</v>
      </c>
      <c r="B619" s="10" t="s">
        <v>580</v>
      </c>
      <c r="C619" s="3" t="s">
        <v>582</v>
      </c>
      <c r="D619" s="11" t="s">
        <v>524</v>
      </c>
      <c r="E619" s="11"/>
      <c r="F619" s="11"/>
      <c r="G619" s="11" t="s">
        <v>51</v>
      </c>
      <c r="H619" s="11" t="s">
        <v>52</v>
      </c>
      <c r="I619" s="11"/>
      <c r="J619" s="113">
        <f>Table4[[#This Row],[total_cost_npr]]*(1/'Calculations &amp; Assumptions'!$C$6)</f>
        <v>76.982294072363345</v>
      </c>
      <c r="K619" s="113">
        <f>Table4[[#This Row],[system_cost_npr_per_kwp]]*(1/'Calculations &amp; Assumptions'!$C$6)</f>
        <v>76.982294072363345</v>
      </c>
      <c r="L619" s="110">
        <v>10000</v>
      </c>
      <c r="M619" s="22">
        <f>Table4[[#This Row],[total_cost_npr]]/Table4[[#This Row],[pv_kWp]]</f>
        <v>10000</v>
      </c>
      <c r="N619" s="11"/>
      <c r="O619" s="11"/>
      <c r="P619" s="11"/>
      <c r="Q619" s="11"/>
      <c r="R619" s="11"/>
      <c r="S619" s="11"/>
      <c r="T619" s="11">
        <v>1</v>
      </c>
      <c r="U619" s="11"/>
      <c r="V619" s="11"/>
      <c r="W619" s="11"/>
      <c r="X619" s="11"/>
      <c r="Y619" s="11"/>
      <c r="Z619" s="11"/>
      <c r="AA619" s="11"/>
      <c r="AB619" s="11"/>
      <c r="AC619" s="11"/>
      <c r="AD619" s="11"/>
      <c r="AE619" s="11"/>
      <c r="AF619" s="11"/>
      <c r="AG619" s="11"/>
      <c r="AH619" s="12"/>
      <c r="AI619" s="11"/>
      <c r="AJ619" s="11"/>
      <c r="AK619" s="11"/>
      <c r="AL619" s="11"/>
      <c r="AM619" s="11"/>
      <c r="AN619" s="11"/>
      <c r="AO619" s="11"/>
      <c r="AP619" s="11"/>
      <c r="AQ619" s="11"/>
      <c r="AR619" s="11"/>
      <c r="AS619" s="11"/>
      <c r="AT619" s="11"/>
      <c r="AU619" s="11"/>
      <c r="AV619" s="11"/>
      <c r="AW619" s="11"/>
      <c r="AX619" s="11"/>
      <c r="AY619" s="11"/>
      <c r="AZ619" s="11"/>
      <c r="BA619" s="11"/>
      <c r="BB619" s="11"/>
      <c r="BC619" s="11"/>
      <c r="BD619" s="11"/>
      <c r="BE619" s="11"/>
      <c r="BF619" s="11"/>
      <c r="BG619" s="11"/>
      <c r="BH619" s="11"/>
      <c r="BI619" s="11"/>
      <c r="BJ619" s="11"/>
      <c r="BK619" s="11" t="s">
        <v>563</v>
      </c>
    </row>
  </sheetData>
  <phoneticPr fontId="3" type="noConversion"/>
  <dataValidations count="1">
    <dataValidation type="list" allowBlank="1" showInputMessage="1" showErrorMessage="1" sqref="H586:I619 I569:I585 H2:H585" xr:uid="{239D55AC-D722-48AA-8B2B-B7475B3EF15F}">
      <formula1>INDIRECT(G2)</formula1>
    </dataValidation>
  </dataValidations>
  <hyperlinks>
    <hyperlink ref="B205" r:id="rId1" xr:uid="{26305981-3CC9-4900-BDCE-80A0B80750F1}"/>
    <hyperlink ref="B34" r:id="rId2" xr:uid="{1E4CB00D-E75B-4560-BE67-B8D712099C24}"/>
    <hyperlink ref="B35" r:id="rId3" xr:uid="{02268785-31D8-4F61-96EE-69C236D8A6DE}"/>
    <hyperlink ref="B38" r:id="rId4" xr:uid="{67FB87AE-22E5-44C8-8843-DFDA017F281C}"/>
    <hyperlink ref="B37" r:id="rId5" xr:uid="{61CE07B5-3960-4863-99B2-1CC86A212DBF}"/>
    <hyperlink ref="B39" r:id="rId6" xr:uid="{96E779B4-6A67-49DC-A503-0846BD8D0050}"/>
    <hyperlink ref="B47" r:id="rId7" xr:uid="{2EB5D0C9-93DE-4362-9A67-272A917D7190}"/>
    <hyperlink ref="B48" r:id="rId8" xr:uid="{D046D5BE-66FA-4820-95E0-28D0231964B0}"/>
    <hyperlink ref="B50" r:id="rId9" xr:uid="{47305994-8C94-48A1-A53F-01C683CF798B}"/>
    <hyperlink ref="B51" r:id="rId10" xr:uid="{FDC94819-CA99-4D2F-8B12-26A55E0D67AA}"/>
    <hyperlink ref="B58" r:id="rId11" xr:uid="{3FA9FCF9-BDA4-4277-BAA6-A142ABEC4E10}"/>
    <hyperlink ref="B59" r:id="rId12" xr:uid="{9D701675-294A-465D-94AE-95D47EAC0F0F}"/>
    <hyperlink ref="B60" r:id="rId13" xr:uid="{1DEC2C3C-760E-4043-9CE4-C17E54C10767}"/>
    <hyperlink ref="B66" r:id="rId14" xr:uid="{9892B0F4-61F6-454B-B34A-321AF7F42792}"/>
    <hyperlink ref="B67" r:id="rId15" xr:uid="{146E78E3-87EF-4479-9D54-D268294F322F}"/>
    <hyperlink ref="B42" r:id="rId16" xr:uid="{A54DF1A0-B281-48B6-9273-D3972109F0CF}"/>
    <hyperlink ref="B43" r:id="rId17" xr:uid="{59016BD1-C6A4-4E9B-A9EB-31F85D5FF470}"/>
    <hyperlink ref="B44" r:id="rId18" xr:uid="{C9B9F967-6F8C-4DC2-9EAE-3CC3B6A5915A}"/>
    <hyperlink ref="B45" r:id="rId19" xr:uid="{9A9FB5AE-AB5C-476E-B7A8-E39068BA0E12}"/>
    <hyperlink ref="B46" r:id="rId20" xr:uid="{B72F0046-D7DB-4F78-8705-F9CF74BBAA44}"/>
    <hyperlink ref="B57" r:id="rId21" xr:uid="{D48324DC-9DF1-4F07-AA26-76DEC70C237C}"/>
    <hyperlink ref="I244" r:id="rId22" display="https://tsolar.en.made-in-china.com/" xr:uid="{FEBEE488-1D14-495E-916F-BE1DBB59C77B}"/>
    <hyperlink ref="B231" r:id="rId23" xr:uid="{3EECEBDC-CEC0-416D-963C-94B88A9420AD}"/>
    <hyperlink ref="B220" r:id="rId24" xr:uid="{E93F1FDF-9A89-4CDF-889D-B272A3350547}"/>
    <hyperlink ref="B70" r:id="rId25" xr:uid="{09465713-F1B7-48C3-B631-51825F671BA0}"/>
    <hyperlink ref="B33" r:id="rId26" xr:uid="{81D41580-80ED-4D69-9BB4-C017A3A837B7}"/>
    <hyperlink ref="B40" r:id="rId27" xr:uid="{908EF977-24D6-4A8D-8ACE-8CF509285D62}"/>
    <hyperlink ref="B74" r:id="rId28" xr:uid="{7366D5C6-9B22-4A1D-A621-E4D8044E585C}"/>
    <hyperlink ref="B75" r:id="rId29" xr:uid="{8D15D9B0-4140-40C7-B6D4-823CF92C0BD9}"/>
    <hyperlink ref="B69" r:id="rId30" xr:uid="{5168214A-A759-40AA-A00B-949EDC5C6ACD}"/>
    <hyperlink ref="B84" r:id="rId31" xr:uid="{68397D95-AEB5-411B-B9FF-F16A034675A4}"/>
    <hyperlink ref="B85" r:id="rId32" xr:uid="{C4D6E50A-8F4F-48BB-9317-1CEB8B3E60CE}"/>
    <hyperlink ref="B86" r:id="rId33" xr:uid="{94AF4621-3348-4946-BE05-9C75FCEDCC09}"/>
    <hyperlink ref="B87" r:id="rId34" xr:uid="{98C207F6-B63C-434E-8A0F-A51A040249AB}"/>
    <hyperlink ref="B88" r:id="rId35" xr:uid="{5897C86F-6C9C-4A4E-967F-5C491F579D6C}"/>
    <hyperlink ref="B89" r:id="rId36" xr:uid="{DA55D69D-DAF5-4B23-B552-8F8F889FBBC5}"/>
    <hyperlink ref="B90" r:id="rId37" xr:uid="{6ED65B7A-3A46-4FB4-9BEE-DB7AD86068C3}"/>
    <hyperlink ref="B92" r:id="rId38" xr:uid="{F849AB47-113B-4C96-A64D-AF27700D3EEA}"/>
    <hyperlink ref="B94" r:id="rId39" xr:uid="{568A5D4C-F94D-4FA3-A614-6A774C7EABAB}"/>
  </hyperlinks>
  <pageMargins left="0.7" right="0.7" top="0.75" bottom="0.75" header="0.3" footer="0.3"/>
  <pageSetup paperSize="9" orientation="portrait" r:id="rId40"/>
  <tableParts count="1">
    <tablePart r:id="rId4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9EBBE-5748-4245-9343-15A01D9B422C}">
  <dimension ref="A1:W365"/>
  <sheetViews>
    <sheetView showGridLines="0" zoomScaleNormal="100" workbookViewId="0"/>
  </sheetViews>
  <sheetFormatPr baseColWidth="10" defaultColWidth="8.83203125" defaultRowHeight="14" x14ac:dyDescent="0.2"/>
  <cols>
    <col min="1" max="1" width="8.83203125" style="37"/>
    <col min="2" max="2" width="30.5" style="37" customWidth="1"/>
    <col min="3" max="3" width="27.1640625" style="37" bestFit="1" customWidth="1"/>
    <col min="4" max="4" width="19.33203125" style="37" customWidth="1"/>
    <col min="5" max="5" width="16.5" style="37" customWidth="1"/>
    <col min="6" max="7" width="16.6640625" style="37" customWidth="1"/>
    <col min="8" max="20" width="8.83203125" style="37"/>
    <col min="21" max="21" width="25.83203125" style="37" bestFit="1" customWidth="1"/>
    <col min="22" max="22" width="12.33203125" style="37" bestFit="1" customWidth="1"/>
    <col min="23" max="16380" width="8.83203125" style="37"/>
    <col min="16381" max="16381" width="8.83203125" style="37" bestFit="1"/>
    <col min="16382" max="16384" width="8.83203125" style="37"/>
  </cols>
  <sheetData>
    <row r="1" spans="1:23" ht="20.25" customHeight="1" x14ac:dyDescent="0.2">
      <c r="A1" s="43"/>
      <c r="B1" s="44"/>
      <c r="C1" s="44"/>
      <c r="D1" s="44"/>
      <c r="E1" s="44"/>
      <c r="F1" s="44"/>
      <c r="G1" s="44"/>
      <c r="H1" s="44"/>
      <c r="I1" s="44"/>
      <c r="J1" s="44"/>
      <c r="K1" s="44"/>
      <c r="L1" s="44"/>
      <c r="M1" s="44"/>
      <c r="N1" s="44"/>
      <c r="O1" s="44"/>
      <c r="P1" s="44"/>
      <c r="Q1" s="44"/>
      <c r="R1" s="44"/>
      <c r="S1" s="44"/>
      <c r="T1" s="44"/>
      <c r="U1" s="44"/>
      <c r="V1" s="44"/>
      <c r="W1" s="45"/>
    </row>
    <row r="2" spans="1:23" ht="20.25" customHeight="1" x14ac:dyDescent="0.2">
      <c r="A2" s="43"/>
      <c r="B2" s="122" t="s">
        <v>546</v>
      </c>
      <c r="C2" s="123"/>
      <c r="D2" s="123"/>
      <c r="E2" s="123"/>
      <c r="F2" s="123"/>
      <c r="G2" s="123"/>
      <c r="H2" s="123"/>
      <c r="I2" s="123"/>
      <c r="J2" s="123"/>
      <c r="K2" s="123"/>
      <c r="L2" s="123"/>
      <c r="M2" s="123"/>
      <c r="N2" s="123"/>
      <c r="O2" s="123"/>
      <c r="P2" s="123"/>
      <c r="Q2" s="123"/>
      <c r="R2" s="123"/>
      <c r="S2" s="123"/>
      <c r="T2" s="123"/>
      <c r="U2" s="44"/>
      <c r="V2" s="44"/>
      <c r="W2" s="45"/>
    </row>
    <row r="3" spans="1:23" ht="20.25" customHeight="1" x14ac:dyDescent="0.2">
      <c r="A3" s="43"/>
      <c r="B3" s="44"/>
      <c r="C3" s="44"/>
      <c r="D3" s="44"/>
      <c r="E3" s="44"/>
      <c r="F3" s="44"/>
      <c r="G3" s="44"/>
      <c r="H3" s="44"/>
      <c r="I3" s="44"/>
      <c r="J3" s="44"/>
      <c r="K3" s="44"/>
      <c r="L3" s="44"/>
      <c r="M3" s="44"/>
      <c r="N3" s="44"/>
      <c r="O3" s="44"/>
      <c r="P3" s="44"/>
      <c r="Q3" s="44"/>
      <c r="R3" s="44"/>
      <c r="S3" s="44"/>
      <c r="T3" s="44"/>
      <c r="U3" s="44"/>
      <c r="V3" s="44"/>
      <c r="W3" s="45"/>
    </row>
    <row r="4" spans="1:23" ht="20.25" customHeight="1" x14ac:dyDescent="0.2">
      <c r="A4" s="43"/>
      <c r="B4" s="38" t="s">
        <v>547</v>
      </c>
      <c r="C4" s="124" t="s">
        <v>551</v>
      </c>
      <c r="D4" s="126"/>
      <c r="E4" s="44"/>
      <c r="F4" s="44"/>
      <c r="G4" s="44"/>
      <c r="H4" s="44"/>
      <c r="I4" s="44"/>
      <c r="J4" s="44"/>
      <c r="K4" s="44"/>
      <c r="L4" s="44"/>
      <c r="M4" s="44"/>
      <c r="N4" s="44"/>
      <c r="O4" s="44"/>
      <c r="P4" s="44"/>
      <c r="Q4" s="44"/>
      <c r="R4" s="44"/>
      <c r="S4" s="44"/>
      <c r="T4" s="44"/>
      <c r="U4" s="44"/>
      <c r="V4" s="44"/>
      <c r="W4" s="45"/>
    </row>
    <row r="5" spans="1:23" ht="20.25" customHeight="1" x14ac:dyDescent="0.2">
      <c r="A5" s="43"/>
      <c r="B5" s="39" t="s">
        <v>548</v>
      </c>
      <c r="C5" s="112">
        <v>130</v>
      </c>
      <c r="D5" s="39" t="s">
        <v>332</v>
      </c>
      <c r="E5" s="44"/>
      <c r="F5" s="44"/>
      <c r="G5" s="44"/>
      <c r="H5" s="44"/>
      <c r="I5" s="44"/>
      <c r="J5" s="44"/>
      <c r="K5" s="44"/>
      <c r="L5" s="44"/>
      <c r="M5" s="44"/>
      <c r="N5" s="44"/>
      <c r="O5" s="44"/>
      <c r="P5" s="44"/>
      <c r="Q5" s="44"/>
      <c r="R5" s="44"/>
      <c r="S5" s="44"/>
      <c r="T5" s="44"/>
      <c r="U5" s="44"/>
      <c r="V5" s="44"/>
      <c r="W5" s="45"/>
    </row>
    <row r="6" spans="1:23" ht="20.25" customHeight="1" x14ac:dyDescent="0.2">
      <c r="A6" s="43"/>
      <c r="B6" s="39" t="s">
        <v>549</v>
      </c>
      <c r="C6" s="112">
        <v>129.9</v>
      </c>
      <c r="D6" s="39" t="s">
        <v>332</v>
      </c>
      <c r="E6" s="44"/>
      <c r="F6" s="44"/>
      <c r="G6" s="44"/>
      <c r="H6" s="44"/>
      <c r="I6" s="44"/>
      <c r="J6" s="44"/>
      <c r="K6" s="44"/>
      <c r="L6" s="44"/>
      <c r="M6" s="44"/>
      <c r="N6" s="44"/>
      <c r="O6" s="44"/>
      <c r="P6" s="44"/>
      <c r="Q6" s="44"/>
      <c r="R6" s="44"/>
      <c r="S6" s="44"/>
      <c r="T6" s="44"/>
      <c r="U6" s="44"/>
      <c r="V6" s="44"/>
      <c r="W6" s="45"/>
    </row>
    <row r="7" spans="1:23" ht="20.25" customHeight="1" x14ac:dyDescent="0.2">
      <c r="A7" s="43"/>
      <c r="B7" s="39" t="s">
        <v>550</v>
      </c>
      <c r="C7" s="112">
        <v>1.6</v>
      </c>
      <c r="D7" s="39" t="s">
        <v>332</v>
      </c>
      <c r="E7" s="44"/>
      <c r="F7" s="44"/>
      <c r="G7" s="44"/>
      <c r="H7" s="44"/>
      <c r="I7" s="44"/>
      <c r="J7" s="44"/>
      <c r="K7" s="44"/>
      <c r="L7" s="44"/>
      <c r="M7" s="44"/>
      <c r="N7" s="44"/>
      <c r="O7" s="44"/>
      <c r="P7" s="44"/>
      <c r="Q7" s="44"/>
      <c r="R7" s="44"/>
      <c r="S7" s="44"/>
      <c r="T7" s="44"/>
      <c r="U7" s="44"/>
      <c r="V7" s="44"/>
      <c r="W7" s="45"/>
    </row>
    <row r="8" spans="1:23" ht="20.25" customHeight="1" x14ac:dyDescent="0.2">
      <c r="A8" s="43"/>
      <c r="B8" s="44"/>
      <c r="C8" s="44"/>
      <c r="D8" s="44"/>
      <c r="E8" s="44"/>
      <c r="F8" s="44"/>
      <c r="G8" s="44"/>
      <c r="H8" s="44"/>
      <c r="I8" s="44"/>
      <c r="J8" s="44"/>
      <c r="K8" s="44"/>
      <c r="L8" s="44"/>
      <c r="M8" s="44"/>
      <c r="N8" s="44"/>
      <c r="O8" s="44"/>
      <c r="P8" s="44"/>
      <c r="Q8" s="44"/>
      <c r="R8" s="44"/>
      <c r="S8" s="44"/>
      <c r="T8" s="44"/>
      <c r="U8" s="44"/>
      <c r="V8" s="44"/>
      <c r="W8" s="45"/>
    </row>
    <row r="9" spans="1:23" ht="20.25" customHeight="1" x14ac:dyDescent="0.2">
      <c r="A9" s="43"/>
      <c r="B9" s="44"/>
      <c r="C9" s="44"/>
      <c r="D9" s="44"/>
      <c r="E9" s="44"/>
      <c r="F9" s="44"/>
      <c r="G9" s="44"/>
      <c r="H9" s="44"/>
      <c r="I9" s="44"/>
      <c r="J9" s="44"/>
      <c r="K9" s="44"/>
      <c r="L9" s="44"/>
      <c r="M9" s="44"/>
      <c r="N9" s="44"/>
      <c r="O9" s="44"/>
      <c r="P9" s="44"/>
      <c r="Q9" s="44"/>
      <c r="R9" s="44"/>
      <c r="S9" s="44"/>
      <c r="T9" s="44"/>
      <c r="U9" s="44"/>
      <c r="V9" s="44"/>
      <c r="W9" s="45"/>
    </row>
    <row r="10" spans="1:23" ht="20.25" customHeight="1" x14ac:dyDescent="0.2">
      <c r="B10" s="122" t="s">
        <v>299</v>
      </c>
      <c r="C10" s="123"/>
      <c r="D10" s="123"/>
      <c r="E10" s="123"/>
      <c r="F10" s="123"/>
      <c r="G10" s="123"/>
      <c r="H10" s="123"/>
      <c r="I10" s="123"/>
      <c r="J10" s="123"/>
      <c r="K10" s="123"/>
      <c r="L10" s="123"/>
      <c r="M10" s="123"/>
      <c r="N10" s="123"/>
      <c r="O10" s="123"/>
      <c r="P10" s="123"/>
      <c r="Q10" s="123"/>
      <c r="R10" s="123"/>
      <c r="S10" s="123"/>
      <c r="T10" s="123"/>
      <c r="U10" s="44"/>
      <c r="V10" s="44"/>
      <c r="W10" s="45"/>
    </row>
    <row r="11" spans="1:23" ht="20.25" customHeight="1" x14ac:dyDescent="0.2">
      <c r="U11" s="44"/>
      <c r="V11" s="44"/>
      <c r="W11" s="45"/>
    </row>
    <row r="12" spans="1:23" ht="20.25" customHeight="1" x14ac:dyDescent="0.2">
      <c r="B12" s="38" t="s">
        <v>292</v>
      </c>
      <c r="C12" s="46" t="s">
        <v>356</v>
      </c>
      <c r="U12" s="44"/>
      <c r="V12" s="44"/>
      <c r="W12" s="45"/>
    </row>
    <row r="13" spans="1:23" ht="20.25" customHeight="1" x14ac:dyDescent="0.2">
      <c r="U13" s="44"/>
      <c r="V13" s="44"/>
      <c r="W13" s="45"/>
    </row>
    <row r="14" spans="1:23" ht="20.25" customHeight="1" x14ac:dyDescent="0.2">
      <c r="B14" s="38" t="s">
        <v>297</v>
      </c>
      <c r="C14" s="38" t="s">
        <v>349</v>
      </c>
      <c r="D14" s="38" t="s">
        <v>324</v>
      </c>
      <c r="U14" s="44"/>
      <c r="V14" s="44"/>
      <c r="W14" s="45"/>
    </row>
    <row r="15" spans="1:23" ht="28.5" customHeight="1" x14ac:dyDescent="0.2">
      <c r="B15" s="39" t="s">
        <v>340</v>
      </c>
      <c r="C15" s="99">
        <v>374576</v>
      </c>
      <c r="D15" s="57">
        <f>MROUND(C15/Results!$C$2,5)</f>
        <v>2885</v>
      </c>
      <c r="E15" s="127" t="s">
        <v>586</v>
      </c>
      <c r="F15" s="128"/>
      <c r="G15" s="128"/>
      <c r="H15" s="128"/>
      <c r="I15" s="128"/>
      <c r="J15" s="128"/>
      <c r="K15" s="128"/>
      <c r="L15" s="128"/>
      <c r="M15" s="128"/>
      <c r="N15" s="128"/>
      <c r="O15" s="128"/>
      <c r="P15" s="128"/>
      <c r="Q15" s="128"/>
      <c r="R15" s="128"/>
      <c r="S15" s="128"/>
      <c r="T15" s="129"/>
      <c r="U15" s="44"/>
      <c r="V15" s="44"/>
      <c r="W15" s="45"/>
    </row>
    <row r="16" spans="1:23" ht="20.25" customHeight="1" x14ac:dyDescent="0.2">
      <c r="U16" s="44"/>
      <c r="V16" s="44"/>
      <c r="W16" s="45"/>
    </row>
    <row r="17" spans="1:23" ht="20.25" customHeight="1" x14ac:dyDescent="0.2">
      <c r="A17" s="43"/>
      <c r="D17" s="44"/>
      <c r="E17" s="44"/>
      <c r="F17" s="44"/>
      <c r="G17" s="44"/>
      <c r="H17" s="44"/>
      <c r="I17" s="44"/>
      <c r="J17" s="44"/>
      <c r="K17" s="44"/>
      <c r="L17" s="44"/>
      <c r="M17" s="44"/>
      <c r="N17" s="44"/>
      <c r="O17" s="44"/>
      <c r="P17" s="44"/>
      <c r="Q17" s="44"/>
      <c r="R17" s="44"/>
      <c r="S17" s="44"/>
      <c r="T17" s="44"/>
      <c r="U17" s="44"/>
      <c r="V17" s="44"/>
      <c r="W17" s="45"/>
    </row>
    <row r="18" spans="1:23" ht="20.25" customHeight="1" x14ac:dyDescent="0.2">
      <c r="A18" s="43"/>
      <c r="B18" s="38" t="s">
        <v>329</v>
      </c>
      <c r="C18" s="38" t="s">
        <v>330</v>
      </c>
      <c r="D18" s="44"/>
      <c r="E18" s="44"/>
      <c r="F18" s="44"/>
      <c r="G18" s="44"/>
      <c r="H18" s="44"/>
      <c r="I18" s="44"/>
      <c r="J18" s="44"/>
      <c r="K18" s="44"/>
      <c r="L18" s="44"/>
      <c r="M18" s="44"/>
      <c r="N18" s="44"/>
      <c r="O18" s="44"/>
      <c r="P18" s="44"/>
      <c r="Q18" s="44"/>
      <c r="R18" s="44"/>
      <c r="S18" s="44"/>
      <c r="T18" s="44"/>
      <c r="U18" s="44"/>
      <c r="V18" s="44"/>
      <c r="W18" s="45"/>
    </row>
    <row r="19" spans="1:23" ht="20.25" customHeight="1" x14ac:dyDescent="0.2">
      <c r="A19" s="43"/>
      <c r="B19" s="39" t="s">
        <v>313</v>
      </c>
      <c r="C19" s="100">
        <v>0.05</v>
      </c>
      <c r="D19" s="44"/>
      <c r="E19" s="44"/>
      <c r="F19" s="44"/>
      <c r="G19" s="44"/>
      <c r="H19" s="44"/>
      <c r="I19" s="44"/>
      <c r="J19" s="44"/>
      <c r="K19" s="44"/>
      <c r="L19" s="44"/>
      <c r="M19" s="44"/>
      <c r="N19" s="44"/>
      <c r="O19" s="44"/>
      <c r="P19" s="44"/>
      <c r="Q19" s="44"/>
      <c r="R19" s="44"/>
      <c r="S19" s="44"/>
      <c r="T19" s="44"/>
      <c r="U19" s="44"/>
      <c r="V19" s="44"/>
      <c r="W19" s="45"/>
    </row>
    <row r="20" spans="1:23" ht="20.25" customHeight="1" x14ac:dyDescent="0.2">
      <c r="A20" s="43"/>
      <c r="B20" s="39" t="s">
        <v>314</v>
      </c>
      <c r="C20" s="100">
        <v>0.05</v>
      </c>
      <c r="D20" s="44"/>
      <c r="E20" s="44"/>
      <c r="F20" s="44"/>
      <c r="G20" s="44"/>
      <c r="H20" s="44"/>
      <c r="I20" s="44"/>
      <c r="J20" s="44"/>
      <c r="K20" s="44"/>
      <c r="L20" s="44"/>
      <c r="M20" s="44"/>
      <c r="N20" s="44"/>
      <c r="O20" s="44"/>
      <c r="P20" s="44"/>
      <c r="Q20" s="44"/>
      <c r="R20" s="44"/>
      <c r="S20" s="44"/>
      <c r="T20" s="44"/>
      <c r="U20" s="44"/>
      <c r="V20" s="44"/>
      <c r="W20" s="45"/>
    </row>
    <row r="21" spans="1:23" ht="20.25" customHeight="1" x14ac:dyDescent="0.2">
      <c r="A21" s="43"/>
      <c r="B21" s="39" t="s">
        <v>326</v>
      </c>
      <c r="C21" s="100">
        <v>0</v>
      </c>
      <c r="D21" s="44"/>
      <c r="E21" s="44"/>
      <c r="F21" s="44"/>
      <c r="G21" s="44"/>
      <c r="H21" s="44"/>
      <c r="I21" s="44"/>
      <c r="J21" s="44"/>
      <c r="K21" s="44"/>
      <c r="L21" s="44"/>
      <c r="M21" s="44"/>
      <c r="N21" s="44"/>
      <c r="O21" s="44"/>
      <c r="P21" s="44"/>
      <c r="Q21" s="44"/>
      <c r="R21" s="44"/>
      <c r="S21" s="44"/>
      <c r="T21" s="44"/>
      <c r="U21" s="44"/>
      <c r="V21" s="44"/>
      <c r="W21" s="45"/>
    </row>
    <row r="22" spans="1:23" ht="20.25" customHeight="1" x14ac:dyDescent="0.2">
      <c r="A22" s="43"/>
      <c r="B22" s="43"/>
      <c r="C22" s="43"/>
      <c r="D22" s="44"/>
      <c r="E22" s="44"/>
      <c r="F22" s="44"/>
      <c r="G22" s="44"/>
      <c r="H22" s="44"/>
      <c r="I22" s="44"/>
      <c r="J22" s="44"/>
      <c r="K22" s="44"/>
      <c r="L22" s="44"/>
      <c r="M22" s="44"/>
      <c r="N22" s="44"/>
      <c r="O22" s="44"/>
      <c r="P22" s="44"/>
      <c r="Q22" s="44"/>
      <c r="R22" s="44"/>
      <c r="S22" s="44"/>
      <c r="T22" s="44"/>
      <c r="U22" s="44"/>
      <c r="V22" s="44"/>
      <c r="W22" s="45"/>
    </row>
    <row r="23" spans="1:23" ht="20.25" customHeight="1" x14ac:dyDescent="0.2">
      <c r="A23" s="43"/>
      <c r="B23" s="44"/>
      <c r="C23" s="44"/>
      <c r="D23" s="44"/>
      <c r="E23" s="44"/>
      <c r="F23" s="44"/>
      <c r="G23" s="44"/>
      <c r="H23" s="44"/>
      <c r="I23" s="44"/>
      <c r="J23" s="44"/>
      <c r="K23" s="44"/>
      <c r="L23" s="44"/>
      <c r="M23" s="44"/>
      <c r="N23" s="44"/>
      <c r="O23" s="44"/>
      <c r="P23" s="44"/>
      <c r="Q23" s="44"/>
      <c r="R23" s="44"/>
      <c r="S23" s="44"/>
      <c r="T23" s="44"/>
      <c r="U23" s="44"/>
      <c r="V23" s="44"/>
      <c r="W23" s="45"/>
    </row>
    <row r="24" spans="1:23" ht="20.25" customHeight="1" x14ac:dyDescent="0.2">
      <c r="B24" s="122" t="s">
        <v>298</v>
      </c>
      <c r="C24" s="123"/>
      <c r="D24" s="123"/>
      <c r="E24" s="123"/>
      <c r="F24" s="123"/>
      <c r="G24" s="123"/>
      <c r="H24" s="123"/>
      <c r="I24" s="123"/>
      <c r="J24" s="123"/>
      <c r="K24" s="123"/>
      <c r="L24" s="123"/>
      <c r="M24" s="123"/>
      <c r="N24" s="123"/>
      <c r="O24" s="123"/>
      <c r="P24" s="123"/>
      <c r="Q24" s="123"/>
      <c r="R24" s="123"/>
      <c r="S24" s="123"/>
      <c r="T24" s="123"/>
      <c r="U24" s="44"/>
      <c r="V24" s="44"/>
      <c r="W24" s="45"/>
    </row>
    <row r="25" spans="1:23" ht="20.25" customHeight="1" x14ac:dyDescent="0.2">
      <c r="U25" s="44"/>
      <c r="V25" s="44"/>
      <c r="W25" s="45"/>
    </row>
    <row r="26" spans="1:23" ht="20.25" customHeight="1" x14ac:dyDescent="0.2">
      <c r="B26" s="38" t="s">
        <v>292</v>
      </c>
      <c r="C26" s="46" t="s">
        <v>356</v>
      </c>
      <c r="U26" s="44"/>
      <c r="V26" s="44"/>
      <c r="W26" s="45"/>
    </row>
    <row r="27" spans="1:23" ht="20.25" customHeight="1" x14ac:dyDescent="0.2">
      <c r="U27" s="44"/>
      <c r="V27" s="44"/>
      <c r="W27" s="45"/>
    </row>
    <row r="28" spans="1:23" ht="20.25" customHeight="1" x14ac:dyDescent="0.2">
      <c r="B28" s="38" t="s">
        <v>297</v>
      </c>
      <c r="C28" s="38" t="s">
        <v>351</v>
      </c>
      <c r="D28" s="38" t="s">
        <v>324</v>
      </c>
      <c r="U28" s="44"/>
      <c r="V28" s="44"/>
      <c r="W28" s="45"/>
    </row>
    <row r="29" spans="1:23" ht="20.25" customHeight="1" x14ac:dyDescent="0.2">
      <c r="B29" s="39" t="s">
        <v>338</v>
      </c>
      <c r="C29" s="99">
        <v>72826</v>
      </c>
      <c r="D29" s="57">
        <f>MROUND(C29/Results!$C$2,5)</f>
        <v>560</v>
      </c>
      <c r="U29" s="44"/>
      <c r="V29" s="44"/>
      <c r="W29" s="45"/>
    </row>
    <row r="30" spans="1:23" ht="20.25" customHeight="1" x14ac:dyDescent="0.2">
      <c r="B30" s="39" t="s">
        <v>339</v>
      </c>
      <c r="C30" s="99">
        <v>116207</v>
      </c>
      <c r="D30" s="57">
        <f>MROUND(C30/Results!$C$2,5)</f>
        <v>895</v>
      </c>
      <c r="U30" s="44"/>
      <c r="V30" s="44"/>
      <c r="W30" s="45"/>
    </row>
    <row r="31" spans="1:23" ht="20.25" customHeight="1" x14ac:dyDescent="0.2">
      <c r="A31" s="43"/>
      <c r="D31" s="44"/>
      <c r="E31" s="44"/>
      <c r="F31" s="44"/>
      <c r="G31" s="44"/>
      <c r="H31" s="44"/>
      <c r="I31" s="44"/>
      <c r="J31" s="44"/>
      <c r="K31" s="44"/>
      <c r="L31" s="44"/>
      <c r="M31" s="44"/>
      <c r="N31" s="44"/>
      <c r="O31" s="44"/>
      <c r="P31" s="44"/>
      <c r="Q31" s="44"/>
      <c r="R31" s="44"/>
      <c r="S31" s="44"/>
      <c r="T31" s="44"/>
      <c r="U31" s="44"/>
      <c r="V31" s="44"/>
      <c r="W31" s="45"/>
    </row>
    <row r="32" spans="1:23" ht="20.25" customHeight="1" x14ac:dyDescent="0.2">
      <c r="A32" s="43"/>
      <c r="D32" s="44"/>
      <c r="E32" s="44"/>
      <c r="F32" s="44"/>
      <c r="G32" s="44"/>
      <c r="H32" s="44"/>
      <c r="I32" s="44"/>
      <c r="J32" s="44"/>
      <c r="K32" s="44"/>
      <c r="L32" s="44"/>
      <c r="M32" s="44"/>
      <c r="N32" s="44"/>
      <c r="O32" s="44"/>
      <c r="P32" s="44"/>
      <c r="Q32" s="44"/>
      <c r="R32" s="44"/>
      <c r="S32" s="44"/>
      <c r="T32" s="44"/>
      <c r="U32" s="44"/>
      <c r="V32" s="44"/>
      <c r="W32" s="45"/>
    </row>
    <row r="33" spans="1:23" ht="20.25" customHeight="1" x14ac:dyDescent="0.2">
      <c r="A33" s="43"/>
      <c r="B33" s="38" t="s">
        <v>329</v>
      </c>
      <c r="C33" s="38" t="s">
        <v>330</v>
      </c>
      <c r="D33" s="44"/>
      <c r="E33" s="44"/>
      <c r="F33" s="44"/>
      <c r="G33" s="44"/>
      <c r="H33" s="44"/>
      <c r="I33" s="44"/>
      <c r="J33" s="44"/>
      <c r="K33" s="44"/>
      <c r="L33" s="44"/>
      <c r="M33" s="44"/>
      <c r="N33" s="44"/>
      <c r="O33" s="44"/>
      <c r="P33" s="44"/>
      <c r="Q33" s="44"/>
      <c r="R33" s="44"/>
      <c r="S33" s="44"/>
      <c r="T33" s="44"/>
      <c r="U33" s="44"/>
      <c r="V33" s="44"/>
      <c r="W33" s="45"/>
    </row>
    <row r="34" spans="1:23" ht="20.25" customHeight="1" x14ac:dyDescent="0.2">
      <c r="A34" s="43"/>
      <c r="B34" s="39" t="s">
        <v>313</v>
      </c>
      <c r="C34" s="100">
        <v>0.05</v>
      </c>
      <c r="D34" s="44"/>
      <c r="E34" s="44"/>
      <c r="F34" s="44"/>
      <c r="G34" s="44"/>
      <c r="H34" s="44"/>
      <c r="I34" s="44"/>
      <c r="J34" s="44"/>
      <c r="K34" s="44"/>
      <c r="L34" s="44"/>
      <c r="M34" s="44"/>
      <c r="N34" s="44"/>
      <c r="O34" s="44"/>
      <c r="P34" s="44"/>
      <c r="Q34" s="44"/>
      <c r="R34" s="44"/>
      <c r="S34" s="44"/>
      <c r="T34" s="44"/>
      <c r="U34" s="44"/>
      <c r="V34" s="44"/>
      <c r="W34" s="45"/>
    </row>
    <row r="35" spans="1:23" ht="20.25" customHeight="1" x14ac:dyDescent="0.2">
      <c r="A35" s="43"/>
      <c r="B35" s="39" t="s">
        <v>314</v>
      </c>
      <c r="C35" s="100">
        <v>0.1</v>
      </c>
      <c r="D35" s="44"/>
      <c r="E35" s="44"/>
      <c r="F35" s="44"/>
      <c r="G35" s="44"/>
      <c r="H35" s="44"/>
      <c r="I35" s="44"/>
      <c r="J35" s="44"/>
      <c r="K35" s="44"/>
      <c r="L35" s="44"/>
      <c r="M35" s="44"/>
      <c r="N35" s="44"/>
      <c r="O35" s="44"/>
      <c r="P35" s="44"/>
      <c r="Q35" s="44"/>
      <c r="R35" s="44"/>
      <c r="S35" s="44"/>
      <c r="T35" s="44"/>
      <c r="U35" s="44"/>
      <c r="V35" s="44"/>
      <c r="W35" s="45"/>
    </row>
    <row r="36" spans="1:23" ht="20.25" customHeight="1" x14ac:dyDescent="0.2">
      <c r="A36" s="43"/>
      <c r="B36" s="39" t="s">
        <v>326</v>
      </c>
      <c r="C36" s="100">
        <v>0</v>
      </c>
      <c r="D36" s="44"/>
      <c r="E36" s="44"/>
      <c r="F36" s="44"/>
      <c r="G36" s="44"/>
      <c r="H36" s="44"/>
      <c r="I36" s="44"/>
      <c r="J36" s="44"/>
      <c r="K36" s="44"/>
      <c r="L36" s="44"/>
      <c r="M36" s="44"/>
      <c r="N36" s="44"/>
      <c r="O36" s="44"/>
      <c r="P36" s="44"/>
      <c r="Q36" s="44"/>
      <c r="R36" s="44"/>
      <c r="S36" s="44"/>
      <c r="T36" s="44"/>
      <c r="U36" s="44"/>
      <c r="V36" s="44"/>
      <c r="W36" s="45"/>
    </row>
    <row r="37" spans="1:23" ht="20.25" hidden="1" customHeight="1" x14ac:dyDescent="0.2">
      <c r="U37" s="44"/>
      <c r="V37" s="44"/>
      <c r="W37" s="45"/>
    </row>
    <row r="38" spans="1:23" ht="20.25" customHeight="1" x14ac:dyDescent="0.2">
      <c r="U38" s="44"/>
      <c r="V38" s="44"/>
      <c r="W38" s="45"/>
    </row>
    <row r="39" spans="1:23" ht="20.25" customHeight="1" x14ac:dyDescent="0.2">
      <c r="U39" s="44"/>
      <c r="V39" s="44"/>
      <c r="W39" s="45"/>
    </row>
    <row r="40" spans="1:23" ht="20.25" customHeight="1" x14ac:dyDescent="0.2">
      <c r="B40" s="122" t="s">
        <v>335</v>
      </c>
      <c r="C40" s="123"/>
      <c r="D40" s="123"/>
      <c r="E40" s="123"/>
      <c r="F40" s="123"/>
      <c r="G40" s="123"/>
      <c r="H40" s="123"/>
      <c r="I40" s="123"/>
      <c r="J40" s="123"/>
      <c r="K40" s="123"/>
      <c r="L40" s="123"/>
      <c r="M40" s="123"/>
      <c r="N40" s="123"/>
      <c r="O40" s="123"/>
      <c r="P40" s="123"/>
      <c r="Q40" s="123"/>
      <c r="R40" s="123"/>
      <c r="S40" s="123"/>
      <c r="T40" s="123"/>
      <c r="U40" s="44"/>
      <c r="V40" s="44"/>
      <c r="W40" s="45"/>
    </row>
    <row r="41" spans="1:23" ht="20.25" customHeight="1" x14ac:dyDescent="0.2">
      <c r="U41" s="44"/>
      <c r="V41" s="44"/>
      <c r="W41" s="45"/>
    </row>
    <row r="42" spans="1:23" ht="20.25" customHeight="1" x14ac:dyDescent="0.2">
      <c r="B42" s="38" t="s">
        <v>292</v>
      </c>
      <c r="C42" s="46" t="s">
        <v>356</v>
      </c>
      <c r="U42" s="44"/>
      <c r="V42" s="44"/>
      <c r="W42" s="45"/>
    </row>
    <row r="43" spans="1:23" ht="20.25" customHeight="1" x14ac:dyDescent="0.2">
      <c r="U43" s="44"/>
      <c r="V43" s="44"/>
      <c r="W43" s="45"/>
    </row>
    <row r="44" spans="1:23" ht="20.25" customHeight="1" x14ac:dyDescent="0.2">
      <c r="B44" s="38" t="s">
        <v>297</v>
      </c>
      <c r="C44" s="38" t="s">
        <v>349</v>
      </c>
      <c r="D44" s="38" t="s">
        <v>324</v>
      </c>
      <c r="U44" s="44"/>
      <c r="V44" s="44"/>
      <c r="W44" s="45"/>
    </row>
    <row r="45" spans="1:23" ht="20.25" customHeight="1" x14ac:dyDescent="0.2">
      <c r="B45" s="39" t="s">
        <v>352</v>
      </c>
      <c r="C45" s="99">
        <v>68944</v>
      </c>
      <c r="D45" s="57">
        <f>MROUND(C45/Results!$C$2,5)</f>
        <v>530</v>
      </c>
      <c r="U45" s="44"/>
      <c r="V45" s="44"/>
      <c r="W45" s="45"/>
    </row>
    <row r="46" spans="1:23" ht="20.25" customHeight="1" x14ac:dyDescent="0.2">
      <c r="B46" s="39" t="s">
        <v>353</v>
      </c>
      <c r="C46" s="99">
        <v>57536</v>
      </c>
      <c r="D46" s="57">
        <f>MROUND(C46/Results!$C$2,5)</f>
        <v>445</v>
      </c>
      <c r="U46" s="44"/>
      <c r="V46" s="44"/>
      <c r="W46" s="45"/>
    </row>
    <row r="47" spans="1:23" ht="20.25" customHeight="1" x14ac:dyDescent="0.2">
      <c r="U47" s="44"/>
      <c r="V47" s="44"/>
      <c r="W47" s="45"/>
    </row>
    <row r="48" spans="1:23" ht="20.25" customHeight="1" x14ac:dyDescent="0.2">
      <c r="U48" s="44"/>
      <c r="V48" s="44"/>
      <c r="W48" s="45"/>
    </row>
    <row r="49" spans="2:23" ht="20.25" customHeight="1" x14ac:dyDescent="0.2">
      <c r="B49" s="38" t="s">
        <v>329</v>
      </c>
      <c r="C49" s="38" t="s">
        <v>330</v>
      </c>
      <c r="U49" s="44"/>
      <c r="V49" s="44"/>
      <c r="W49" s="45"/>
    </row>
    <row r="50" spans="2:23" ht="20.25" customHeight="1" x14ac:dyDescent="0.2">
      <c r="B50" s="39" t="s">
        <v>313</v>
      </c>
      <c r="C50" s="100">
        <v>0.05</v>
      </c>
      <c r="U50" s="44"/>
      <c r="V50" s="44"/>
      <c r="W50" s="45"/>
    </row>
    <row r="51" spans="2:23" ht="20.25" customHeight="1" x14ac:dyDescent="0.2">
      <c r="B51" s="39" t="s">
        <v>314</v>
      </c>
      <c r="C51" s="100">
        <v>0.1</v>
      </c>
      <c r="U51" s="44"/>
      <c r="V51" s="44"/>
      <c r="W51" s="45"/>
    </row>
    <row r="52" spans="2:23" ht="20.25" customHeight="1" x14ac:dyDescent="0.2">
      <c r="B52" s="39" t="s">
        <v>326</v>
      </c>
      <c r="C52" s="100">
        <v>0.02</v>
      </c>
      <c r="U52" s="44"/>
      <c r="V52" s="44"/>
      <c r="W52" s="45"/>
    </row>
    <row r="53" spans="2:23" ht="20.25" customHeight="1" x14ac:dyDescent="0.2">
      <c r="U53" s="44"/>
      <c r="V53" s="44"/>
      <c r="W53" s="45"/>
    </row>
    <row r="54" spans="2:23" ht="20.25" customHeight="1" x14ac:dyDescent="0.2">
      <c r="U54" s="44"/>
      <c r="V54" s="44"/>
      <c r="W54" s="45"/>
    </row>
    <row r="55" spans="2:23" ht="20.25" customHeight="1" x14ac:dyDescent="0.2">
      <c r="B55" s="122" t="s">
        <v>403</v>
      </c>
      <c r="C55" s="123"/>
      <c r="D55" s="123"/>
      <c r="E55" s="123"/>
      <c r="F55" s="123"/>
      <c r="G55" s="123"/>
      <c r="H55" s="123"/>
      <c r="I55" s="123"/>
      <c r="J55" s="123"/>
      <c r="K55" s="123"/>
      <c r="L55" s="123"/>
      <c r="M55" s="123"/>
      <c r="N55" s="123"/>
      <c r="O55" s="123"/>
      <c r="P55" s="123"/>
      <c r="Q55" s="123"/>
      <c r="R55" s="123"/>
      <c r="S55" s="123"/>
      <c r="T55" s="132"/>
      <c r="U55" s="44"/>
      <c r="V55" s="44"/>
      <c r="W55" s="45"/>
    </row>
    <row r="56" spans="2:23" ht="20.25" customHeight="1" x14ac:dyDescent="0.2">
      <c r="U56" s="44"/>
      <c r="V56" s="44"/>
      <c r="W56" s="45"/>
    </row>
    <row r="57" spans="2:23" ht="20.25" customHeight="1" x14ac:dyDescent="0.2">
      <c r="B57" s="38" t="s">
        <v>292</v>
      </c>
      <c r="C57" s="46" t="s">
        <v>356</v>
      </c>
      <c r="U57" s="44"/>
      <c r="V57" s="44"/>
      <c r="W57" s="45"/>
    </row>
    <row r="58" spans="2:23" ht="20.25" customHeight="1" x14ac:dyDescent="0.2">
      <c r="U58" s="44"/>
      <c r="V58" s="44"/>
      <c r="W58" s="45"/>
    </row>
    <row r="59" spans="2:23" ht="20.25" customHeight="1" x14ac:dyDescent="0.2">
      <c r="B59" s="38" t="s">
        <v>347</v>
      </c>
      <c r="C59" s="38" t="s">
        <v>349</v>
      </c>
      <c r="D59" s="38" t="s">
        <v>324</v>
      </c>
      <c r="E59" s="38" t="s">
        <v>369</v>
      </c>
      <c r="F59" s="38" t="s">
        <v>370</v>
      </c>
      <c r="U59" s="44"/>
      <c r="V59" s="44"/>
      <c r="W59" s="45"/>
    </row>
    <row r="60" spans="2:23" ht="20.25" customHeight="1" x14ac:dyDescent="0.2">
      <c r="B60" s="39" t="s">
        <v>371</v>
      </c>
      <c r="C60" s="99">
        <v>236015</v>
      </c>
      <c r="D60" s="57">
        <f>MROUND(C60/Results!$C$2,5)</f>
        <v>1815</v>
      </c>
      <c r="E60" s="101">
        <v>2</v>
      </c>
      <c r="F60" s="101">
        <v>0.3</v>
      </c>
      <c r="U60" s="44"/>
      <c r="V60" s="44"/>
      <c r="W60" s="45"/>
    </row>
    <row r="61" spans="2:23" ht="20.25" customHeight="1" x14ac:dyDescent="0.2">
      <c r="B61" s="39" t="s">
        <v>372</v>
      </c>
      <c r="C61" s="99">
        <v>201175</v>
      </c>
      <c r="D61" s="57">
        <f>MROUND(C61/Results!$C$2,5)</f>
        <v>1550</v>
      </c>
      <c r="E61" s="101">
        <v>1.5</v>
      </c>
      <c r="F61" s="101">
        <v>0.4</v>
      </c>
      <c r="U61" s="44"/>
      <c r="V61" s="44"/>
      <c r="W61" s="45"/>
    </row>
    <row r="62" spans="2:23" ht="20.25" customHeight="1" x14ac:dyDescent="0.2">
      <c r="B62" s="39" t="s">
        <v>373</v>
      </c>
      <c r="C62" s="99">
        <v>185348</v>
      </c>
      <c r="D62" s="57">
        <f>MROUND(C62/Results!$C$2,5)</f>
        <v>1425</v>
      </c>
      <c r="E62" s="101">
        <v>1.25</v>
      </c>
      <c r="F62" s="101">
        <v>0.5</v>
      </c>
      <c r="U62" s="44"/>
      <c r="V62" s="44"/>
      <c r="W62" s="45"/>
    </row>
    <row r="63" spans="2:23" ht="20.25" customHeight="1" x14ac:dyDescent="0.2">
      <c r="U63" s="44"/>
      <c r="V63" s="44"/>
      <c r="W63" s="45"/>
    </row>
    <row r="64" spans="2:23" ht="20.25" customHeight="1" x14ac:dyDescent="0.2">
      <c r="B64" s="38" t="s">
        <v>364</v>
      </c>
      <c r="C64" s="38" t="s">
        <v>365</v>
      </c>
      <c r="D64" s="38" t="s">
        <v>323</v>
      </c>
      <c r="U64" s="44"/>
      <c r="V64" s="44"/>
      <c r="W64" s="45"/>
    </row>
    <row r="65" spans="2:23" ht="20.25" customHeight="1" x14ac:dyDescent="0.2">
      <c r="B65" s="39" t="s">
        <v>366</v>
      </c>
      <c r="C65" s="57">
        <f>C80*Results!$C$2</f>
        <v>6495</v>
      </c>
      <c r="D65" s="57">
        <f>MROUND(C65/Results!$C$2,5)</f>
        <v>50</v>
      </c>
      <c r="U65" s="44"/>
      <c r="V65" s="44"/>
      <c r="W65" s="45"/>
    </row>
    <row r="66" spans="2:23" ht="20.25" customHeight="1" x14ac:dyDescent="0.2">
      <c r="U66" s="44"/>
      <c r="V66" s="44"/>
      <c r="W66" s="45"/>
    </row>
    <row r="67" spans="2:23" ht="20.25" customHeight="1" x14ac:dyDescent="0.2">
      <c r="B67" s="38" t="s">
        <v>305</v>
      </c>
      <c r="C67" s="38" t="s">
        <v>367</v>
      </c>
      <c r="D67" s="38" t="s">
        <v>405</v>
      </c>
      <c r="U67" s="44"/>
      <c r="V67" s="44"/>
      <c r="W67" s="45"/>
    </row>
    <row r="68" spans="2:23" ht="20.25" customHeight="1" x14ac:dyDescent="0.2">
      <c r="B68" s="39" t="s">
        <v>368</v>
      </c>
      <c r="C68" s="57">
        <f>C81*Results!$C$2</f>
        <v>2598000</v>
      </c>
      <c r="D68" s="57">
        <f>MROUND(C68/Results!$C$2,5)</f>
        <v>20000</v>
      </c>
      <c r="U68" s="44"/>
      <c r="V68" s="44"/>
      <c r="W68" s="45"/>
    </row>
    <row r="69" spans="2:23" ht="20.25" customHeight="1" x14ac:dyDescent="0.2">
      <c r="U69" s="44"/>
      <c r="V69" s="44"/>
      <c r="W69" s="45"/>
    </row>
    <row r="70" spans="2:23" ht="20.25" customHeight="1" x14ac:dyDescent="0.2">
      <c r="U70" s="44"/>
      <c r="V70" s="44"/>
      <c r="W70" s="45"/>
    </row>
    <row r="71" spans="2:23" ht="20.25" customHeight="1" x14ac:dyDescent="0.2">
      <c r="B71" s="38" t="s">
        <v>301</v>
      </c>
      <c r="C71" s="39" t="s">
        <v>376</v>
      </c>
      <c r="D71" s="102">
        <v>200</v>
      </c>
      <c r="U71" s="44"/>
      <c r="V71" s="44"/>
      <c r="W71" s="45"/>
    </row>
    <row r="72" spans="2:23" ht="20.25" customHeight="1" x14ac:dyDescent="0.2">
      <c r="B72" s="38" t="s">
        <v>378</v>
      </c>
      <c r="C72" s="39" t="s">
        <v>377</v>
      </c>
      <c r="D72" s="103">
        <v>2.5</v>
      </c>
      <c r="U72" s="44"/>
      <c r="V72" s="44"/>
      <c r="W72" s="45"/>
    </row>
    <row r="73" spans="2:23" ht="20.25" customHeight="1" x14ac:dyDescent="0.2">
      <c r="B73" s="38" t="s">
        <v>297</v>
      </c>
      <c r="C73" s="124" t="s">
        <v>306</v>
      </c>
      <c r="D73" s="125"/>
      <c r="E73" s="38" t="s">
        <v>310</v>
      </c>
      <c r="F73" s="38" t="s">
        <v>380</v>
      </c>
      <c r="G73" s="38" t="s">
        <v>312</v>
      </c>
      <c r="U73" s="44"/>
      <c r="V73" s="44"/>
      <c r="W73" s="45"/>
    </row>
    <row r="74" spans="2:23" ht="20.25" customHeight="1" x14ac:dyDescent="0.2">
      <c r="B74" s="39" t="s">
        <v>302</v>
      </c>
      <c r="C74" s="104">
        <v>330</v>
      </c>
      <c r="D74" s="40" t="s">
        <v>307</v>
      </c>
      <c r="E74" s="102">
        <v>30</v>
      </c>
      <c r="F74" s="40" t="s">
        <v>334</v>
      </c>
      <c r="G74" s="48">
        <f t="shared" ref="G74:G81" si="0">C74*E74</f>
        <v>9900</v>
      </c>
      <c r="U74" s="44"/>
      <c r="V74" s="44"/>
      <c r="W74" s="45"/>
    </row>
    <row r="75" spans="2:23" ht="20.25" customHeight="1" x14ac:dyDescent="0.2">
      <c r="B75" s="39" t="s">
        <v>303</v>
      </c>
      <c r="C75" s="104">
        <v>62</v>
      </c>
      <c r="D75" s="40" t="s">
        <v>307</v>
      </c>
      <c r="E75" s="102">
        <v>30</v>
      </c>
      <c r="F75" s="40" t="s">
        <v>334</v>
      </c>
      <c r="G75" s="48">
        <f t="shared" si="0"/>
        <v>1860</v>
      </c>
      <c r="U75" s="44"/>
      <c r="V75" s="44"/>
      <c r="W75" s="45"/>
    </row>
    <row r="76" spans="2:23" ht="20.25" customHeight="1" x14ac:dyDescent="0.2">
      <c r="B76" s="39" t="s">
        <v>95</v>
      </c>
      <c r="C76" s="104">
        <v>180</v>
      </c>
      <c r="D76" s="40" t="s">
        <v>308</v>
      </c>
      <c r="E76" s="102">
        <v>30</v>
      </c>
      <c r="F76" s="40" t="s">
        <v>334</v>
      </c>
      <c r="G76" s="48">
        <f t="shared" si="0"/>
        <v>5400</v>
      </c>
      <c r="U76" s="44"/>
      <c r="V76" s="44"/>
      <c r="W76" s="45"/>
    </row>
    <row r="77" spans="2:23" ht="20.25" customHeight="1" x14ac:dyDescent="0.2">
      <c r="B77" s="39" t="s">
        <v>311</v>
      </c>
      <c r="C77" s="104">
        <v>380</v>
      </c>
      <c r="D77" s="40" t="s">
        <v>309</v>
      </c>
      <c r="E77" s="102">
        <v>60</v>
      </c>
      <c r="F77" s="40" t="s">
        <v>381</v>
      </c>
      <c r="G77" s="48">
        <f t="shared" si="0"/>
        <v>22800</v>
      </c>
      <c r="U77" s="44"/>
      <c r="V77" s="44"/>
      <c r="W77" s="45"/>
    </row>
    <row r="78" spans="2:23" ht="20.25" customHeight="1" x14ac:dyDescent="0.2">
      <c r="B78" s="39" t="s">
        <v>304</v>
      </c>
      <c r="C78" s="104">
        <v>205</v>
      </c>
      <c r="D78" s="40" t="s">
        <v>308</v>
      </c>
      <c r="E78" s="102">
        <v>15</v>
      </c>
      <c r="F78" s="40" t="s">
        <v>382</v>
      </c>
      <c r="G78" s="48">
        <f t="shared" si="0"/>
        <v>3075</v>
      </c>
      <c r="U78" s="44"/>
      <c r="V78" s="44"/>
      <c r="W78" s="45"/>
    </row>
    <row r="79" spans="2:23" ht="20.25" customHeight="1" x14ac:dyDescent="0.2">
      <c r="B79" s="39" t="s">
        <v>325</v>
      </c>
      <c r="C79" s="104">
        <v>245</v>
      </c>
      <c r="D79" s="40" t="s">
        <v>308</v>
      </c>
      <c r="E79" s="102">
        <v>10</v>
      </c>
      <c r="F79" s="40" t="s">
        <v>382</v>
      </c>
      <c r="G79" s="48">
        <f t="shared" si="0"/>
        <v>2450</v>
      </c>
      <c r="U79" s="44"/>
      <c r="V79" s="44"/>
      <c r="W79" s="45"/>
    </row>
    <row r="80" spans="2:23" ht="20.25" customHeight="1" x14ac:dyDescent="0.2">
      <c r="B80" s="39" t="s">
        <v>127</v>
      </c>
      <c r="C80" s="104">
        <v>50</v>
      </c>
      <c r="D80" s="40" t="s">
        <v>379</v>
      </c>
      <c r="E80" s="102">
        <f>D71</f>
        <v>200</v>
      </c>
      <c r="F80" s="40" t="s">
        <v>383</v>
      </c>
      <c r="G80" s="48">
        <f t="shared" si="0"/>
        <v>10000</v>
      </c>
      <c r="U80" s="44"/>
      <c r="V80" s="44"/>
      <c r="W80" s="45"/>
    </row>
    <row r="81" spans="2:23" ht="20.25" customHeight="1" x14ac:dyDescent="0.2">
      <c r="B81" s="39" t="s">
        <v>305</v>
      </c>
      <c r="C81" s="104">
        <v>20000</v>
      </c>
      <c r="D81" s="40" t="s">
        <v>384</v>
      </c>
      <c r="E81" s="103">
        <f>D72</f>
        <v>2.5</v>
      </c>
      <c r="F81" s="40" t="s">
        <v>345</v>
      </c>
      <c r="G81" s="48">
        <f t="shared" si="0"/>
        <v>50000</v>
      </c>
      <c r="U81" s="44"/>
      <c r="V81" s="44"/>
      <c r="W81" s="45"/>
    </row>
    <row r="82" spans="2:23" ht="20.25" customHeight="1" x14ac:dyDescent="0.2">
      <c r="B82" s="52" t="s">
        <v>317</v>
      </c>
      <c r="C82" s="50"/>
      <c r="D82" s="50"/>
      <c r="E82" s="50"/>
      <c r="F82" s="50"/>
      <c r="G82" s="51"/>
      <c r="U82" s="44"/>
      <c r="V82" s="44"/>
      <c r="W82" s="45"/>
    </row>
    <row r="83" spans="2:23" ht="20.25" customHeight="1" x14ac:dyDescent="0.2">
      <c r="B83" s="39" t="s">
        <v>313</v>
      </c>
      <c r="C83" s="105">
        <v>0.05</v>
      </c>
      <c r="D83" s="40" t="s">
        <v>318</v>
      </c>
      <c r="E83" s="40"/>
      <c r="F83" s="40"/>
      <c r="G83" s="48">
        <f>(SUM($G$74:$G$81)/(1-SUM($C$83:$C$86))*1)*C83</f>
        <v>6511.4197530864194</v>
      </c>
      <c r="U83" s="44"/>
      <c r="V83" s="44"/>
      <c r="W83" s="45"/>
    </row>
    <row r="84" spans="2:23" ht="20.25" customHeight="1" x14ac:dyDescent="0.2">
      <c r="B84" s="39" t="s">
        <v>314</v>
      </c>
      <c r="C84" s="105">
        <v>0.1</v>
      </c>
      <c r="D84" s="40" t="s">
        <v>318</v>
      </c>
      <c r="E84" s="40"/>
      <c r="F84" s="40"/>
      <c r="G84" s="48">
        <f>(SUM($G$74:$G$81)/(1-SUM($C$83:$C$86))*1)*C84</f>
        <v>13022.839506172839</v>
      </c>
      <c r="U84" s="44"/>
      <c r="V84" s="44"/>
      <c r="W84" s="45"/>
    </row>
    <row r="85" spans="2:23" ht="20.25" customHeight="1" x14ac:dyDescent="0.2">
      <c r="B85" s="39" t="s">
        <v>315</v>
      </c>
      <c r="C85" s="106">
        <v>0.02</v>
      </c>
      <c r="D85" s="40" t="s">
        <v>318</v>
      </c>
      <c r="E85" s="40"/>
      <c r="F85" s="40"/>
      <c r="G85" s="48">
        <f>(SUM($G$74:$G$81)/(1-SUM($C$83:$C$86))*1)*C85</f>
        <v>2604.5679012345677</v>
      </c>
      <c r="U85" s="44"/>
      <c r="V85" s="44"/>
      <c r="W85" s="45"/>
    </row>
    <row r="86" spans="2:23" ht="20.25" customHeight="1" x14ac:dyDescent="0.2">
      <c r="B86" s="39" t="s">
        <v>316</v>
      </c>
      <c r="C86" s="106">
        <v>0.02</v>
      </c>
      <c r="D86" s="40" t="s">
        <v>318</v>
      </c>
      <c r="E86" s="40"/>
      <c r="F86" s="40"/>
      <c r="G86" s="48">
        <f>(SUM($G$74:$G$81)/(1-SUM($C$83:$C$86))*1)*C86</f>
        <v>2604.5679012345677</v>
      </c>
      <c r="U86" s="44"/>
      <c r="V86" s="44"/>
      <c r="W86" s="45"/>
    </row>
    <row r="87" spans="2:23" ht="20.25" customHeight="1" x14ac:dyDescent="0.2">
      <c r="B87" s="39" t="s">
        <v>319</v>
      </c>
      <c r="C87" s="91">
        <f>SUM(G83:G86,G74:G81)</f>
        <v>130228.3950617284</v>
      </c>
      <c r="D87" s="47" t="s">
        <v>322</v>
      </c>
      <c r="E87" s="40"/>
      <c r="F87" s="40"/>
      <c r="G87" s="40"/>
      <c r="U87" s="44"/>
      <c r="V87" s="44"/>
      <c r="W87" s="45"/>
    </row>
    <row r="88" spans="2:23" ht="20.25" customHeight="1" x14ac:dyDescent="0.2">
      <c r="B88" s="39" t="s">
        <v>320</v>
      </c>
      <c r="C88" s="91">
        <f>C87/180</f>
        <v>723.49108367626889</v>
      </c>
      <c r="D88" s="47" t="s">
        <v>323</v>
      </c>
      <c r="E88" s="40"/>
      <c r="F88" s="40"/>
      <c r="G88" s="40"/>
      <c r="U88" s="44"/>
      <c r="V88" s="44"/>
      <c r="W88" s="45"/>
    </row>
    <row r="89" spans="2:23" ht="20.25" customHeight="1" x14ac:dyDescent="0.2">
      <c r="B89" s="39" t="s">
        <v>321</v>
      </c>
      <c r="C89" s="91">
        <f>C87/30</f>
        <v>4340.9465020576135</v>
      </c>
      <c r="D89" s="47" t="s">
        <v>324</v>
      </c>
      <c r="E89" s="40"/>
      <c r="F89" s="40"/>
      <c r="G89" s="40"/>
      <c r="U89" s="44"/>
      <c r="V89" s="44"/>
      <c r="W89" s="45"/>
    </row>
    <row r="90" spans="2:23" ht="20.25" customHeight="1" x14ac:dyDescent="0.2">
      <c r="U90" s="44"/>
      <c r="V90" s="44"/>
      <c r="W90" s="45"/>
    </row>
    <row r="91" spans="2:23" ht="20.25" customHeight="1" x14ac:dyDescent="0.2">
      <c r="U91" s="44"/>
      <c r="V91" s="44"/>
      <c r="W91" s="45"/>
    </row>
    <row r="92" spans="2:23" ht="20.25" customHeight="1" x14ac:dyDescent="0.2">
      <c r="B92" s="38" t="s">
        <v>300</v>
      </c>
      <c r="C92" s="39" t="s">
        <v>376</v>
      </c>
      <c r="D92" s="40">
        <v>1000</v>
      </c>
      <c r="U92" s="44"/>
      <c r="V92" s="44"/>
      <c r="W92" s="45"/>
    </row>
    <row r="93" spans="2:23" ht="20.25" customHeight="1" x14ac:dyDescent="0.2">
      <c r="B93" s="38" t="s">
        <v>378</v>
      </c>
      <c r="C93" s="39" t="s">
        <v>377</v>
      </c>
      <c r="D93" s="61">
        <v>10</v>
      </c>
      <c r="U93" s="44"/>
      <c r="V93" s="44"/>
      <c r="W93" s="45"/>
    </row>
    <row r="94" spans="2:23" ht="20.25" customHeight="1" x14ac:dyDescent="0.2">
      <c r="B94" s="38" t="s">
        <v>297</v>
      </c>
      <c r="C94" s="124" t="s">
        <v>306</v>
      </c>
      <c r="D94" s="125"/>
      <c r="E94" s="38" t="s">
        <v>310</v>
      </c>
      <c r="F94" s="38" t="s">
        <v>380</v>
      </c>
      <c r="G94" s="38" t="s">
        <v>312</v>
      </c>
      <c r="U94" s="44"/>
      <c r="V94" s="44"/>
      <c r="W94" s="45"/>
    </row>
    <row r="95" spans="2:23" ht="20.25" customHeight="1" x14ac:dyDescent="0.2">
      <c r="B95" s="39" t="s">
        <v>302</v>
      </c>
      <c r="C95" s="104">
        <v>330</v>
      </c>
      <c r="D95" s="40" t="s">
        <v>307</v>
      </c>
      <c r="E95" s="102">
        <v>300</v>
      </c>
      <c r="F95" s="40" t="s">
        <v>334</v>
      </c>
      <c r="G95" s="48">
        <f t="shared" ref="G95:G101" si="1">C95*E95</f>
        <v>99000</v>
      </c>
      <c r="U95" s="44"/>
      <c r="V95" s="44"/>
      <c r="W95" s="45"/>
    </row>
    <row r="96" spans="2:23" ht="20.25" customHeight="1" x14ac:dyDescent="0.2">
      <c r="B96" s="39" t="s">
        <v>303</v>
      </c>
      <c r="C96" s="104">
        <v>62</v>
      </c>
      <c r="D96" s="40" t="s">
        <v>307</v>
      </c>
      <c r="E96" s="102">
        <v>300</v>
      </c>
      <c r="F96" s="40" t="s">
        <v>334</v>
      </c>
      <c r="G96" s="48">
        <f t="shared" si="1"/>
        <v>18600</v>
      </c>
      <c r="U96" s="44"/>
      <c r="V96" s="44"/>
      <c r="W96" s="45"/>
    </row>
    <row r="97" spans="2:23" ht="20.25" customHeight="1" x14ac:dyDescent="0.2">
      <c r="B97" s="39" t="s">
        <v>95</v>
      </c>
      <c r="C97" s="104">
        <v>180</v>
      </c>
      <c r="D97" s="40" t="s">
        <v>308</v>
      </c>
      <c r="E97" s="102">
        <v>300</v>
      </c>
      <c r="F97" s="40" t="s">
        <v>334</v>
      </c>
      <c r="G97" s="48">
        <f t="shared" si="1"/>
        <v>54000</v>
      </c>
      <c r="U97" s="44"/>
      <c r="V97" s="44"/>
      <c r="W97" s="45"/>
    </row>
    <row r="98" spans="2:23" ht="20.25" customHeight="1" x14ac:dyDescent="0.2">
      <c r="B98" s="39" t="s">
        <v>311</v>
      </c>
      <c r="C98" s="104">
        <v>380</v>
      </c>
      <c r="D98" s="40" t="s">
        <v>309</v>
      </c>
      <c r="E98" s="102">
        <v>600</v>
      </c>
      <c r="F98" s="40" t="s">
        <v>381</v>
      </c>
      <c r="G98" s="48">
        <f t="shared" si="1"/>
        <v>228000</v>
      </c>
      <c r="U98" s="44"/>
      <c r="V98" s="44"/>
      <c r="W98" s="45"/>
    </row>
    <row r="99" spans="2:23" ht="20.25" customHeight="1" x14ac:dyDescent="0.2">
      <c r="B99" s="39" t="s">
        <v>304</v>
      </c>
      <c r="C99" s="104">
        <v>205</v>
      </c>
      <c r="D99" s="40" t="s">
        <v>308</v>
      </c>
      <c r="E99" s="102">
        <v>150</v>
      </c>
      <c r="F99" s="40" t="s">
        <v>382</v>
      </c>
      <c r="G99" s="48">
        <f t="shared" si="1"/>
        <v>30750</v>
      </c>
      <c r="U99" s="44"/>
      <c r="V99" s="44"/>
      <c r="W99" s="45"/>
    </row>
    <row r="100" spans="2:23" ht="20.25" customHeight="1" x14ac:dyDescent="0.2">
      <c r="B100" s="39" t="s">
        <v>325</v>
      </c>
      <c r="C100" s="104">
        <v>245</v>
      </c>
      <c r="D100" s="40" t="s">
        <v>308</v>
      </c>
      <c r="E100" s="102">
        <v>100</v>
      </c>
      <c r="F100" s="40" t="s">
        <v>382</v>
      </c>
      <c r="G100" s="48">
        <f t="shared" si="1"/>
        <v>24500</v>
      </c>
      <c r="U100" s="44"/>
      <c r="V100" s="44"/>
      <c r="W100" s="45"/>
    </row>
    <row r="101" spans="2:23" ht="20.25" customHeight="1" x14ac:dyDescent="0.2">
      <c r="B101" s="39" t="s">
        <v>127</v>
      </c>
      <c r="C101" s="104">
        <v>50</v>
      </c>
      <c r="D101" s="40" t="s">
        <v>379</v>
      </c>
      <c r="E101" s="102">
        <f>D92</f>
        <v>1000</v>
      </c>
      <c r="F101" s="40" t="s">
        <v>383</v>
      </c>
      <c r="G101" s="48">
        <f t="shared" si="1"/>
        <v>50000</v>
      </c>
      <c r="U101" s="44"/>
      <c r="V101" s="44"/>
      <c r="W101" s="45"/>
    </row>
    <row r="102" spans="2:23" ht="20.25" customHeight="1" x14ac:dyDescent="0.2">
      <c r="B102" s="39" t="s">
        <v>305</v>
      </c>
      <c r="C102" s="104">
        <v>240</v>
      </c>
      <c r="D102" s="40" t="s">
        <v>384</v>
      </c>
      <c r="E102" s="102">
        <f>D93</f>
        <v>10</v>
      </c>
      <c r="F102" s="40" t="s">
        <v>345</v>
      </c>
      <c r="G102" s="48">
        <f>240*1050</f>
        <v>252000</v>
      </c>
      <c r="U102" s="44"/>
      <c r="V102" s="44"/>
      <c r="W102" s="45"/>
    </row>
    <row r="103" spans="2:23" ht="20.25" customHeight="1" x14ac:dyDescent="0.2">
      <c r="B103" s="49" t="s">
        <v>317</v>
      </c>
      <c r="C103" s="50"/>
      <c r="D103" s="50"/>
      <c r="E103" s="50"/>
      <c r="F103" s="50"/>
      <c r="G103" s="51"/>
      <c r="U103" s="44"/>
      <c r="V103" s="44"/>
      <c r="W103" s="45"/>
    </row>
    <row r="104" spans="2:23" ht="20.25" customHeight="1" x14ac:dyDescent="0.2">
      <c r="B104" s="39" t="s">
        <v>313</v>
      </c>
      <c r="C104" s="105">
        <v>0.05</v>
      </c>
      <c r="D104" s="40" t="s">
        <v>318</v>
      </c>
      <c r="E104" s="40"/>
      <c r="F104" s="40"/>
      <c r="G104" s="48">
        <f>(SUM($G$95:$G$102)/(1-SUM($C$104:$C$107))*1)*C104</f>
        <v>47303.125</v>
      </c>
      <c r="U104" s="44"/>
      <c r="V104" s="44"/>
      <c r="W104" s="45"/>
    </row>
    <row r="105" spans="2:23" ht="20.25" customHeight="1" x14ac:dyDescent="0.2">
      <c r="B105" s="39" t="s">
        <v>314</v>
      </c>
      <c r="C105" s="105">
        <v>0.1</v>
      </c>
      <c r="D105" s="40" t="s">
        <v>318</v>
      </c>
      <c r="E105" s="40"/>
      <c r="F105" s="40"/>
      <c r="G105" s="48">
        <f>(SUM($G$95:$G$102)/(1-SUM($C$104:$C$107))*1)*C105</f>
        <v>94606.25</v>
      </c>
      <c r="U105" s="44"/>
      <c r="V105" s="44"/>
      <c r="W105" s="45"/>
    </row>
    <row r="106" spans="2:23" ht="20.25" customHeight="1" x14ac:dyDescent="0.2">
      <c r="B106" s="39" t="s">
        <v>315</v>
      </c>
      <c r="C106" s="106">
        <v>0.02</v>
      </c>
      <c r="D106" s="40" t="s">
        <v>318</v>
      </c>
      <c r="E106" s="40"/>
      <c r="F106" s="40"/>
      <c r="G106" s="48">
        <f>(SUM($G$95:$G$102)/(1-SUM($C$104:$C$107))*1)*C106</f>
        <v>18921.25</v>
      </c>
      <c r="U106" s="44"/>
      <c r="V106" s="44"/>
      <c r="W106" s="45"/>
    </row>
    <row r="107" spans="2:23" ht="20.25" customHeight="1" x14ac:dyDescent="0.2">
      <c r="B107" s="39" t="s">
        <v>316</v>
      </c>
      <c r="C107" s="106">
        <v>0.03</v>
      </c>
      <c r="D107" s="40" t="s">
        <v>318</v>
      </c>
      <c r="E107" s="40"/>
      <c r="F107" s="40"/>
      <c r="G107" s="48">
        <f>(SUM($G$95:$G$102)/(1-SUM($C$104:$C$107))*1)*C107</f>
        <v>28381.875</v>
      </c>
      <c r="U107" s="44"/>
      <c r="V107" s="44"/>
      <c r="W107" s="45"/>
    </row>
    <row r="108" spans="2:23" ht="20.25" customHeight="1" x14ac:dyDescent="0.2">
      <c r="B108" s="39" t="s">
        <v>319</v>
      </c>
      <c r="C108" s="91">
        <f>SUM(G104:G107,G95:G102)</f>
        <v>946062.5</v>
      </c>
      <c r="D108" s="47" t="s">
        <v>322</v>
      </c>
      <c r="E108" s="40"/>
      <c r="F108" s="40"/>
      <c r="G108" s="40"/>
      <c r="U108" s="44"/>
      <c r="V108" s="44"/>
      <c r="W108" s="45"/>
    </row>
    <row r="109" spans="2:23" ht="20.25" customHeight="1" x14ac:dyDescent="0.2">
      <c r="B109" s="39" t="s">
        <v>320</v>
      </c>
      <c r="C109" s="91">
        <f>C108/1050</f>
        <v>901.01190476190482</v>
      </c>
      <c r="D109" s="47" t="s">
        <v>323</v>
      </c>
      <c r="E109" s="40"/>
      <c r="F109" s="40"/>
      <c r="G109" s="40"/>
      <c r="U109" s="44"/>
      <c r="V109" s="44"/>
      <c r="W109" s="45"/>
    </row>
    <row r="110" spans="2:23" ht="20.25" customHeight="1" x14ac:dyDescent="0.2">
      <c r="B110" s="39" t="s">
        <v>321</v>
      </c>
      <c r="C110" s="91">
        <f>C108/300</f>
        <v>3153.5416666666665</v>
      </c>
      <c r="D110" s="47" t="s">
        <v>324</v>
      </c>
      <c r="E110" s="40"/>
      <c r="F110" s="40"/>
      <c r="G110" s="40"/>
      <c r="U110" s="44"/>
      <c r="V110" s="44"/>
      <c r="W110" s="45"/>
    </row>
    <row r="111" spans="2:23" ht="20.25" customHeight="1" x14ac:dyDescent="0.2">
      <c r="U111" s="44"/>
      <c r="V111" s="44"/>
      <c r="W111" s="45"/>
    </row>
    <row r="112" spans="2:23" ht="20.25" customHeight="1" x14ac:dyDescent="0.2">
      <c r="B112" s="43"/>
      <c r="C112" s="44"/>
      <c r="D112" s="44"/>
      <c r="E112" s="44"/>
      <c r="F112" s="44"/>
      <c r="G112" s="44"/>
      <c r="H112" s="44"/>
      <c r="I112" s="44"/>
      <c r="J112" s="44"/>
      <c r="K112" s="44"/>
      <c r="L112" s="44"/>
      <c r="M112" s="44"/>
      <c r="N112" s="44"/>
      <c r="O112" s="44"/>
      <c r="P112" s="44"/>
      <c r="Q112" s="44"/>
      <c r="R112" s="44"/>
      <c r="S112" s="44"/>
      <c r="T112" s="44"/>
      <c r="U112" s="44"/>
      <c r="V112" s="44"/>
      <c r="W112" s="45"/>
    </row>
    <row r="113" spans="2:23" ht="20.25" customHeight="1" x14ac:dyDescent="0.2">
      <c r="B113" s="43"/>
      <c r="C113" s="44"/>
      <c r="D113" s="44"/>
      <c r="E113" s="44"/>
      <c r="F113" s="44"/>
      <c r="G113" s="44"/>
      <c r="H113" s="44"/>
      <c r="I113" s="44"/>
      <c r="J113" s="44"/>
      <c r="K113" s="44"/>
      <c r="L113" s="44"/>
      <c r="M113" s="44"/>
      <c r="N113" s="44"/>
      <c r="O113" s="44"/>
      <c r="P113" s="44"/>
      <c r="Q113" s="44"/>
      <c r="R113" s="44"/>
      <c r="S113" s="44"/>
      <c r="T113" s="44"/>
      <c r="U113" s="44"/>
      <c r="V113" s="44"/>
      <c r="W113" s="45"/>
    </row>
    <row r="114" spans="2:23" ht="20.25" customHeight="1" x14ac:dyDescent="0.2">
      <c r="B114" s="122" t="s">
        <v>295</v>
      </c>
      <c r="C114" s="123"/>
      <c r="D114" s="123"/>
      <c r="E114" s="123"/>
      <c r="F114" s="123"/>
      <c r="G114" s="123"/>
      <c r="H114" s="123"/>
      <c r="I114" s="123"/>
      <c r="J114" s="123"/>
      <c r="K114" s="123"/>
      <c r="L114" s="123"/>
      <c r="M114" s="123"/>
      <c r="N114" s="123"/>
      <c r="O114" s="123"/>
      <c r="P114" s="123"/>
      <c r="Q114" s="123"/>
      <c r="R114" s="123"/>
      <c r="S114" s="123"/>
      <c r="T114" s="123"/>
      <c r="U114" s="44"/>
      <c r="V114" s="44"/>
      <c r="W114" s="45"/>
    </row>
    <row r="115" spans="2:23" ht="20.25" customHeight="1" x14ac:dyDescent="0.2">
      <c r="U115" s="44"/>
      <c r="V115" s="44"/>
      <c r="W115" s="45"/>
    </row>
    <row r="116" spans="2:23" ht="20.25" customHeight="1" x14ac:dyDescent="0.2">
      <c r="B116" s="38" t="s">
        <v>292</v>
      </c>
      <c r="C116" s="46" t="s">
        <v>291</v>
      </c>
      <c r="E116" s="38" t="s">
        <v>142</v>
      </c>
      <c r="F116" s="38" t="s">
        <v>144</v>
      </c>
      <c r="U116" s="44"/>
      <c r="V116" s="44"/>
      <c r="W116" s="45"/>
    </row>
    <row r="117" spans="2:23" ht="20.25" customHeight="1" x14ac:dyDescent="0.2">
      <c r="E117" s="41">
        <v>1</v>
      </c>
      <c r="F117" s="42">
        <f t="shared" ref="F117:F126" si="2">$C$121*LOG(E117,10)+$C$120</f>
        <v>124858.5</v>
      </c>
      <c r="U117" s="44"/>
      <c r="V117" s="44"/>
      <c r="W117" s="45"/>
    </row>
    <row r="118" spans="2:23" ht="20.25" customHeight="1" x14ac:dyDescent="0.2">
      <c r="B118" s="130" t="s">
        <v>361</v>
      </c>
      <c r="C118" s="131"/>
      <c r="E118" s="41">
        <v>2</v>
      </c>
      <c r="F118" s="42">
        <f t="shared" si="2"/>
        <v>108677.1804576748</v>
      </c>
      <c r="U118" s="44"/>
      <c r="V118" s="44"/>
      <c r="W118" s="45"/>
    </row>
    <row r="119" spans="2:23" ht="20.25" customHeight="1" x14ac:dyDescent="0.2">
      <c r="B119" s="38" t="s">
        <v>143</v>
      </c>
      <c r="C119" s="38" t="s">
        <v>296</v>
      </c>
      <c r="E119" s="41">
        <v>3</v>
      </c>
      <c r="F119" s="42">
        <f t="shared" si="2"/>
        <v>99211.715313228138</v>
      </c>
      <c r="U119" s="44"/>
      <c r="V119" s="44"/>
      <c r="W119" s="45"/>
    </row>
    <row r="120" spans="2:23" ht="20.25" customHeight="1" x14ac:dyDescent="0.2">
      <c r="B120" s="39" t="s">
        <v>293</v>
      </c>
      <c r="C120" s="99">
        <v>124858.5</v>
      </c>
      <c r="E120" s="41">
        <v>4</v>
      </c>
      <c r="F120" s="42">
        <f t="shared" si="2"/>
        <v>92495.860915349607</v>
      </c>
      <c r="U120" s="44"/>
      <c r="V120" s="44"/>
      <c r="W120" s="45"/>
    </row>
    <row r="121" spans="2:23" ht="20.25" customHeight="1" x14ac:dyDescent="0.2">
      <c r="B121" s="39" t="s">
        <v>294</v>
      </c>
      <c r="C121" s="99">
        <v>-53753.18</v>
      </c>
      <c r="E121" s="41">
        <v>5</v>
      </c>
      <c r="F121" s="42">
        <f t="shared" si="2"/>
        <v>87286.639542325196</v>
      </c>
      <c r="U121" s="44"/>
      <c r="V121" s="44"/>
      <c r="W121" s="45"/>
    </row>
    <row r="122" spans="2:23" ht="20.25" customHeight="1" x14ac:dyDescent="0.2">
      <c r="E122" s="41">
        <v>6</v>
      </c>
      <c r="F122" s="42">
        <f t="shared" si="2"/>
        <v>83030.395770902949</v>
      </c>
      <c r="U122" s="44"/>
      <c r="V122" s="44"/>
      <c r="W122" s="45"/>
    </row>
    <row r="123" spans="2:23" ht="20.25" customHeight="1" x14ac:dyDescent="0.2">
      <c r="E123" s="41">
        <v>7</v>
      </c>
      <c r="F123" s="42">
        <f t="shared" si="2"/>
        <v>79431.792937466467</v>
      </c>
      <c r="U123" s="44"/>
      <c r="V123" s="44"/>
      <c r="W123" s="45"/>
    </row>
    <row r="124" spans="2:23" ht="20.25" customHeight="1" x14ac:dyDescent="0.2">
      <c r="E124" s="41">
        <v>8</v>
      </c>
      <c r="F124" s="42">
        <f t="shared" si="2"/>
        <v>76314.541373024404</v>
      </c>
      <c r="U124" s="44"/>
      <c r="V124" s="44"/>
      <c r="W124" s="45"/>
    </row>
    <row r="125" spans="2:23" ht="20.25" customHeight="1" x14ac:dyDescent="0.2">
      <c r="E125" s="41">
        <v>9</v>
      </c>
      <c r="F125" s="42">
        <f t="shared" si="2"/>
        <v>73564.930626456277</v>
      </c>
      <c r="U125" s="44"/>
      <c r="V125" s="44"/>
      <c r="W125" s="45"/>
    </row>
    <row r="126" spans="2:23" ht="20.25" customHeight="1" x14ac:dyDescent="0.2">
      <c r="E126" s="41">
        <v>10</v>
      </c>
      <c r="F126" s="42">
        <f t="shared" si="2"/>
        <v>71105.320000000007</v>
      </c>
      <c r="U126" s="44"/>
      <c r="V126" s="44"/>
      <c r="W126" s="45"/>
    </row>
    <row r="127" spans="2:23" ht="20.25" customHeight="1" x14ac:dyDescent="0.2">
      <c r="U127" s="44"/>
      <c r="V127" s="44"/>
      <c r="W127" s="45"/>
    </row>
    <row r="128" spans="2:23" ht="20.25" customHeight="1" x14ac:dyDescent="0.2">
      <c r="U128" s="44"/>
      <c r="V128" s="44"/>
      <c r="W128" s="45"/>
    </row>
    <row r="129" spans="2:23" ht="20.25" customHeight="1" x14ac:dyDescent="0.2">
      <c r="B129" s="130" t="s">
        <v>362</v>
      </c>
      <c r="C129" s="131"/>
      <c r="E129" s="38" t="s">
        <v>142</v>
      </c>
      <c r="F129" s="38" t="s">
        <v>144</v>
      </c>
      <c r="U129" s="44"/>
      <c r="V129" s="44"/>
      <c r="W129" s="45"/>
    </row>
    <row r="130" spans="2:23" ht="20.25" customHeight="1" x14ac:dyDescent="0.2">
      <c r="B130" s="38" t="s">
        <v>143</v>
      </c>
      <c r="C130" s="38" t="s">
        <v>296</v>
      </c>
      <c r="E130" s="41">
        <v>1</v>
      </c>
      <c r="F130" s="42">
        <f>$C$132*LOG(E130,10)+$C$131</f>
        <v>150470.5</v>
      </c>
      <c r="U130" s="44"/>
      <c r="V130" s="44"/>
      <c r="W130" s="45"/>
    </row>
    <row r="131" spans="2:23" ht="20.25" customHeight="1" x14ac:dyDescent="0.2">
      <c r="B131" s="39" t="s">
        <v>293</v>
      </c>
      <c r="C131" s="99">
        <v>150470.5</v>
      </c>
      <c r="E131" s="41">
        <v>2</v>
      </c>
      <c r="F131" s="42">
        <f t="shared" ref="F131:F139" si="3">$C$132*LOG(E131,10)+$C$131</f>
        <v>137315.34770538606</v>
      </c>
      <c r="U131" s="44"/>
      <c r="V131" s="44"/>
      <c r="W131" s="45"/>
    </row>
    <row r="132" spans="2:23" ht="20.25" customHeight="1" x14ac:dyDescent="0.2">
      <c r="B132" s="39" t="s">
        <v>294</v>
      </c>
      <c r="C132" s="99">
        <v>-43700.47</v>
      </c>
      <c r="E132" s="41">
        <v>3</v>
      </c>
      <c r="F132" s="42">
        <f t="shared" si="3"/>
        <v>129620.07692176104</v>
      </c>
      <c r="U132" s="44"/>
      <c r="V132" s="44"/>
      <c r="W132" s="45"/>
    </row>
    <row r="133" spans="2:23" ht="20.25" customHeight="1" x14ac:dyDescent="0.2">
      <c r="E133" s="41">
        <v>4</v>
      </c>
      <c r="F133" s="42">
        <f t="shared" si="3"/>
        <v>124160.19541077212</v>
      </c>
      <c r="U133" s="44"/>
      <c r="V133" s="44"/>
      <c r="W133" s="45"/>
    </row>
    <row r="134" spans="2:23" ht="20.25" customHeight="1" x14ac:dyDescent="0.2">
      <c r="E134" s="41">
        <v>5</v>
      </c>
      <c r="F134" s="42">
        <f t="shared" si="3"/>
        <v>119925.18229461394</v>
      </c>
      <c r="U134" s="44"/>
      <c r="V134" s="44"/>
      <c r="W134" s="45"/>
    </row>
    <row r="135" spans="2:23" ht="20.25" customHeight="1" x14ac:dyDescent="0.2">
      <c r="E135" s="41">
        <v>6</v>
      </c>
      <c r="F135" s="42">
        <f t="shared" si="3"/>
        <v>116464.92462714709</v>
      </c>
      <c r="U135" s="44"/>
      <c r="V135" s="44"/>
      <c r="W135" s="45"/>
    </row>
    <row r="136" spans="2:23" ht="20.25" customHeight="1" x14ac:dyDescent="0.2">
      <c r="E136" s="41">
        <v>7</v>
      </c>
      <c r="F136" s="42">
        <f t="shared" si="3"/>
        <v>113539.31845529817</v>
      </c>
      <c r="U136" s="44"/>
      <c r="V136" s="44"/>
      <c r="W136" s="45"/>
    </row>
    <row r="137" spans="2:23" ht="20.25" customHeight="1" x14ac:dyDescent="0.2">
      <c r="E137" s="41">
        <v>8</v>
      </c>
      <c r="F137" s="42">
        <f t="shared" si="3"/>
        <v>111005.04311615819</v>
      </c>
      <c r="U137" s="44"/>
      <c r="V137" s="44"/>
      <c r="W137" s="45"/>
    </row>
    <row r="138" spans="2:23" ht="20.25" customHeight="1" x14ac:dyDescent="0.2">
      <c r="E138" s="41">
        <v>9</v>
      </c>
      <c r="F138" s="42">
        <f t="shared" si="3"/>
        <v>108769.65384352207</v>
      </c>
      <c r="U138" s="44"/>
      <c r="V138" s="44"/>
      <c r="W138" s="45"/>
    </row>
    <row r="139" spans="2:23" ht="20.25" customHeight="1" x14ac:dyDescent="0.2">
      <c r="E139" s="41">
        <v>10</v>
      </c>
      <c r="F139" s="42">
        <f t="shared" si="3"/>
        <v>106770.03</v>
      </c>
      <c r="U139" s="44"/>
      <c r="V139" s="44"/>
      <c r="W139" s="45"/>
    </row>
    <row r="140" spans="2:23" ht="20.25" customHeight="1" x14ac:dyDescent="0.2">
      <c r="U140" s="44"/>
      <c r="V140" s="44"/>
      <c r="W140" s="45"/>
    </row>
    <row r="141" spans="2:23" ht="20.25" customHeight="1" x14ac:dyDescent="0.2">
      <c r="B141" s="38" t="s">
        <v>329</v>
      </c>
      <c r="C141" s="38" t="s">
        <v>330</v>
      </c>
      <c r="U141" s="44"/>
      <c r="V141" s="44"/>
      <c r="W141" s="45"/>
    </row>
    <row r="142" spans="2:23" ht="20.25" customHeight="1" x14ac:dyDescent="0.2">
      <c r="B142" s="39" t="s">
        <v>313</v>
      </c>
      <c r="C142" s="100">
        <v>0.05</v>
      </c>
      <c r="U142" s="44"/>
      <c r="V142" s="44"/>
      <c r="W142" s="45"/>
    </row>
    <row r="143" spans="2:23" ht="20.25" customHeight="1" x14ac:dyDescent="0.2">
      <c r="B143" s="39" t="s">
        <v>314</v>
      </c>
      <c r="C143" s="100">
        <v>0.1</v>
      </c>
      <c r="U143" s="44"/>
      <c r="V143" s="44"/>
      <c r="W143" s="45"/>
    </row>
    <row r="144" spans="2:23" ht="20.25" customHeight="1" x14ac:dyDescent="0.2">
      <c r="B144" s="39" t="s">
        <v>326</v>
      </c>
      <c r="C144" s="100">
        <v>0.02</v>
      </c>
      <c r="U144" s="44"/>
      <c r="V144" s="44"/>
      <c r="W144" s="45"/>
    </row>
    <row r="145" spans="1:23" ht="20.25" customHeight="1" x14ac:dyDescent="0.2">
      <c r="U145" s="44"/>
      <c r="V145" s="44"/>
      <c r="W145" s="45"/>
    </row>
    <row r="146" spans="1:23" ht="20.25" customHeight="1" x14ac:dyDescent="0.2">
      <c r="U146" s="44"/>
      <c r="V146" s="44"/>
      <c r="W146" s="45"/>
    </row>
    <row r="147" spans="1:23" ht="20.25" customHeight="1" x14ac:dyDescent="0.2">
      <c r="B147" s="122" t="s">
        <v>343</v>
      </c>
      <c r="C147" s="123"/>
      <c r="D147" s="123"/>
      <c r="E147" s="123"/>
      <c r="F147" s="123"/>
      <c r="G147" s="123"/>
      <c r="H147" s="123"/>
      <c r="I147" s="123"/>
      <c r="J147" s="123"/>
      <c r="K147" s="123"/>
      <c r="L147" s="123"/>
      <c r="M147" s="123"/>
      <c r="N147" s="123"/>
      <c r="O147" s="123"/>
      <c r="P147" s="123"/>
      <c r="Q147" s="123"/>
      <c r="R147" s="123"/>
      <c r="S147" s="123"/>
      <c r="T147" s="123"/>
      <c r="U147" s="44"/>
      <c r="V147" s="44"/>
      <c r="W147" s="45"/>
    </row>
    <row r="148" spans="1:23" ht="20.25" customHeight="1" x14ac:dyDescent="0.2">
      <c r="U148" s="44"/>
      <c r="V148" s="44"/>
      <c r="W148" s="45"/>
    </row>
    <row r="149" spans="1:23" ht="20.25" customHeight="1" x14ac:dyDescent="0.2">
      <c r="B149" s="38" t="s">
        <v>292</v>
      </c>
      <c r="C149" s="46" t="s">
        <v>356</v>
      </c>
      <c r="U149" s="44"/>
      <c r="V149" s="44"/>
      <c r="W149" s="45"/>
    </row>
    <row r="150" spans="1:23" ht="20.25" customHeight="1" x14ac:dyDescent="0.2">
      <c r="U150" s="44"/>
      <c r="V150" s="44"/>
      <c r="W150" s="45"/>
    </row>
    <row r="151" spans="1:23" ht="20.25" customHeight="1" x14ac:dyDescent="0.2">
      <c r="B151" s="38" t="s">
        <v>297</v>
      </c>
      <c r="C151" s="38" t="s">
        <v>332</v>
      </c>
      <c r="D151" s="38" t="s">
        <v>324</v>
      </c>
      <c r="U151" s="44"/>
      <c r="V151" s="44"/>
      <c r="W151" s="45"/>
    </row>
    <row r="152" spans="1:23" ht="20.25" customHeight="1" x14ac:dyDescent="0.2">
      <c r="B152" s="39" t="s">
        <v>63</v>
      </c>
      <c r="C152" s="99">
        <v>15000</v>
      </c>
      <c r="D152" s="57">
        <f>MROUND(C152/Results!$C$2,5)</f>
        <v>115</v>
      </c>
      <c r="U152" s="44"/>
      <c r="V152" s="44"/>
      <c r="W152" s="45"/>
    </row>
    <row r="153" spans="1:23" ht="20.25" customHeight="1" x14ac:dyDescent="0.2">
      <c r="B153" s="39" t="s">
        <v>65</v>
      </c>
      <c r="C153" s="99">
        <v>25000</v>
      </c>
      <c r="D153" s="57">
        <f>MROUND(C153/Results!$C$2,5)</f>
        <v>190</v>
      </c>
      <c r="U153" s="44"/>
      <c r="V153" s="44"/>
      <c r="W153" s="45"/>
    </row>
    <row r="154" spans="1:23" ht="20.25" customHeight="1" x14ac:dyDescent="0.2">
      <c r="B154" s="39" t="s">
        <v>71</v>
      </c>
      <c r="C154" s="99">
        <v>30000</v>
      </c>
      <c r="D154" s="57">
        <f>MROUND(C154/Results!$C$2,5)</f>
        <v>230</v>
      </c>
      <c r="E154" s="58"/>
      <c r="U154" s="44"/>
      <c r="V154" s="44"/>
      <c r="W154" s="45"/>
    </row>
    <row r="155" spans="1:23" ht="20.25" customHeight="1" x14ac:dyDescent="0.2">
      <c r="U155" s="44"/>
      <c r="V155" s="44"/>
      <c r="W155" s="45"/>
    </row>
    <row r="156" spans="1:23" ht="20.25" customHeight="1" x14ac:dyDescent="0.2">
      <c r="A156" s="43"/>
      <c r="D156" s="44"/>
      <c r="E156" s="44"/>
      <c r="F156" s="44"/>
      <c r="G156" s="44"/>
      <c r="H156" s="44"/>
      <c r="I156" s="44"/>
      <c r="J156" s="44"/>
      <c r="K156" s="44"/>
      <c r="L156" s="44"/>
      <c r="M156" s="44"/>
      <c r="N156" s="44"/>
      <c r="O156" s="44"/>
      <c r="P156" s="44"/>
      <c r="Q156" s="44"/>
      <c r="R156" s="44"/>
      <c r="S156" s="44"/>
      <c r="T156" s="44"/>
      <c r="U156" s="44"/>
      <c r="V156" s="44"/>
      <c r="W156" s="45"/>
    </row>
    <row r="157" spans="1:23" ht="20.25" customHeight="1" x14ac:dyDescent="0.2">
      <c r="A157" s="43"/>
      <c r="B157" s="38" t="s">
        <v>329</v>
      </c>
      <c r="C157" s="38" t="s">
        <v>330</v>
      </c>
      <c r="D157" s="44"/>
      <c r="E157" s="44"/>
      <c r="F157" s="44"/>
      <c r="G157" s="44"/>
      <c r="H157" s="44"/>
      <c r="I157" s="44"/>
      <c r="J157" s="44"/>
      <c r="K157" s="44"/>
      <c r="L157" s="44"/>
      <c r="M157" s="44"/>
      <c r="N157" s="44"/>
      <c r="O157" s="44"/>
      <c r="P157" s="44"/>
      <c r="Q157" s="44"/>
      <c r="R157" s="44"/>
      <c r="S157" s="44"/>
      <c r="T157" s="44"/>
      <c r="U157" s="44"/>
      <c r="V157" s="44"/>
      <c r="W157" s="45"/>
    </row>
    <row r="158" spans="1:23" ht="20.25" customHeight="1" x14ac:dyDescent="0.2">
      <c r="A158" s="43"/>
      <c r="B158" s="39" t="s">
        <v>313</v>
      </c>
      <c r="C158" s="100">
        <v>0.05</v>
      </c>
      <c r="D158" s="44"/>
      <c r="E158" s="44"/>
      <c r="F158" s="44"/>
      <c r="G158" s="44"/>
      <c r="H158" s="44"/>
      <c r="I158" s="44"/>
      <c r="J158" s="44"/>
      <c r="K158" s="44"/>
      <c r="L158" s="44"/>
      <c r="M158" s="44"/>
      <c r="N158" s="44"/>
      <c r="O158" s="44"/>
      <c r="P158" s="44"/>
      <c r="Q158" s="44"/>
      <c r="R158" s="44"/>
      <c r="S158" s="44"/>
      <c r="T158" s="44"/>
      <c r="U158" s="44"/>
      <c r="V158" s="44"/>
      <c r="W158" s="45"/>
    </row>
    <row r="159" spans="1:23" ht="20.25" customHeight="1" x14ac:dyDescent="0.2">
      <c r="A159" s="43"/>
      <c r="B159" s="39" t="s">
        <v>314</v>
      </c>
      <c r="C159" s="100">
        <v>0.1</v>
      </c>
      <c r="D159" s="44"/>
      <c r="E159" s="44"/>
      <c r="F159" s="44"/>
      <c r="G159" s="44"/>
      <c r="H159" s="44"/>
      <c r="I159" s="44"/>
      <c r="J159" s="44"/>
      <c r="K159" s="44"/>
      <c r="L159" s="44"/>
      <c r="M159" s="44"/>
      <c r="N159" s="44"/>
      <c r="O159" s="44"/>
      <c r="P159" s="44"/>
      <c r="Q159" s="44"/>
      <c r="R159" s="44"/>
      <c r="S159" s="44"/>
      <c r="T159" s="44"/>
      <c r="U159" s="44"/>
      <c r="V159" s="44"/>
      <c r="W159" s="45"/>
    </row>
    <row r="160" spans="1:23" ht="20.25" customHeight="1" x14ac:dyDescent="0.2">
      <c r="A160" s="43"/>
      <c r="B160" s="39" t="s">
        <v>326</v>
      </c>
      <c r="C160" s="100">
        <v>0</v>
      </c>
      <c r="D160" s="44"/>
      <c r="E160" s="44"/>
      <c r="F160" s="44"/>
      <c r="G160" s="44"/>
      <c r="H160" s="44"/>
      <c r="I160" s="44"/>
      <c r="J160" s="44"/>
      <c r="K160" s="44"/>
      <c r="L160" s="44"/>
      <c r="M160" s="44"/>
      <c r="N160" s="44"/>
      <c r="O160" s="44"/>
      <c r="P160" s="44"/>
      <c r="Q160" s="44"/>
      <c r="R160" s="44"/>
      <c r="S160" s="44"/>
      <c r="T160" s="44"/>
      <c r="U160" s="44"/>
      <c r="V160" s="44"/>
      <c r="W160" s="45"/>
    </row>
    <row r="161" spans="21:23" ht="20.25" hidden="1" customHeight="1" x14ac:dyDescent="0.2">
      <c r="U161" s="44"/>
      <c r="V161" s="44"/>
      <c r="W161" s="45"/>
    </row>
    <row r="162" spans="21:23" ht="20.25" customHeight="1" x14ac:dyDescent="0.2">
      <c r="U162" s="44"/>
      <c r="V162" s="44"/>
      <c r="W162" s="45"/>
    </row>
    <row r="163" spans="21:23" ht="20.25" customHeight="1" x14ac:dyDescent="0.2">
      <c r="U163" s="44"/>
      <c r="V163" s="44"/>
      <c r="W163" s="45"/>
    </row>
    <row r="223" spans="21:23" ht="20.25" customHeight="1" x14ac:dyDescent="0.2">
      <c r="U223" s="44"/>
      <c r="V223" s="44"/>
      <c r="W223" s="45"/>
    </row>
    <row r="224" spans="21:23" ht="20.25" customHeight="1" x14ac:dyDescent="0.2">
      <c r="U224" s="44"/>
      <c r="V224" s="44"/>
      <c r="W224" s="45"/>
    </row>
    <row r="225" spans="21:23" ht="20.25" customHeight="1" x14ac:dyDescent="0.2">
      <c r="U225" s="44"/>
      <c r="V225" s="44"/>
      <c r="W225" s="45"/>
    </row>
    <row r="226" spans="21:23" ht="20.25" customHeight="1" x14ac:dyDescent="0.2">
      <c r="U226" s="44"/>
      <c r="V226" s="44"/>
      <c r="W226" s="45"/>
    </row>
    <row r="227" spans="21:23" ht="20.25" customHeight="1" x14ac:dyDescent="0.2">
      <c r="U227" s="44"/>
      <c r="V227" s="44"/>
      <c r="W227" s="45"/>
    </row>
    <row r="228" spans="21:23" ht="20.25" customHeight="1" x14ac:dyDescent="0.2">
      <c r="U228" s="44"/>
      <c r="V228" s="44"/>
      <c r="W228" s="45"/>
    </row>
    <row r="229" spans="21:23" ht="20.25" customHeight="1" x14ac:dyDescent="0.2">
      <c r="U229" s="44"/>
      <c r="V229" s="44"/>
      <c r="W229" s="45"/>
    </row>
    <row r="230" spans="21:23" ht="20.25" customHeight="1" x14ac:dyDescent="0.2">
      <c r="U230" s="44"/>
      <c r="V230" s="44"/>
      <c r="W230" s="45"/>
    </row>
    <row r="231" spans="21:23" ht="20.25" customHeight="1" x14ac:dyDescent="0.2">
      <c r="U231" s="44"/>
      <c r="V231" s="44"/>
      <c r="W231" s="45"/>
    </row>
    <row r="232" spans="21:23" ht="20.25" customHeight="1" x14ac:dyDescent="0.2">
      <c r="U232" s="44"/>
      <c r="V232" s="44"/>
      <c r="W232" s="45"/>
    </row>
    <row r="233" spans="21:23" ht="20.25" customHeight="1" x14ac:dyDescent="0.2">
      <c r="U233" s="44"/>
      <c r="V233" s="44"/>
      <c r="W233" s="45"/>
    </row>
    <row r="234" spans="21:23" ht="20.25" customHeight="1" x14ac:dyDescent="0.2">
      <c r="U234" s="44"/>
      <c r="V234" s="44"/>
      <c r="W234" s="45"/>
    </row>
    <row r="235" spans="21:23" ht="20.25" customHeight="1" x14ac:dyDescent="0.2">
      <c r="U235" s="44"/>
      <c r="V235" s="44"/>
      <c r="W235" s="45"/>
    </row>
    <row r="236" spans="21:23" ht="20.25" customHeight="1" x14ac:dyDescent="0.2">
      <c r="U236" s="44"/>
      <c r="V236" s="44"/>
      <c r="W236" s="45"/>
    </row>
    <row r="237" spans="21:23" ht="20.25" customHeight="1" x14ac:dyDescent="0.2">
      <c r="U237" s="44"/>
      <c r="V237" s="44"/>
      <c r="W237" s="45"/>
    </row>
    <row r="238" spans="21:23" ht="20.25" customHeight="1" x14ac:dyDescent="0.2">
      <c r="U238" s="44"/>
      <c r="V238" s="44"/>
      <c r="W238" s="45"/>
    </row>
    <row r="239" spans="21:23" ht="20.25" customHeight="1" x14ac:dyDescent="0.2">
      <c r="U239" s="44"/>
      <c r="V239" s="44"/>
      <c r="W239" s="45"/>
    </row>
    <row r="240" spans="21:23" ht="20.25" customHeight="1" x14ac:dyDescent="0.2">
      <c r="U240" s="44"/>
      <c r="V240" s="44"/>
      <c r="W240" s="45"/>
    </row>
    <row r="241" spans="21:23" ht="20.25" customHeight="1" x14ac:dyDescent="0.2">
      <c r="U241" s="44"/>
      <c r="V241" s="44"/>
      <c r="W241" s="45"/>
    </row>
    <row r="242" spans="21:23" ht="20.25" customHeight="1" x14ac:dyDescent="0.2">
      <c r="U242" s="44"/>
      <c r="V242" s="44"/>
      <c r="W242" s="45"/>
    </row>
    <row r="243" spans="21:23" ht="20.25" customHeight="1" x14ac:dyDescent="0.2">
      <c r="U243" s="44"/>
      <c r="V243" s="44"/>
      <c r="W243" s="45"/>
    </row>
    <row r="244" spans="21:23" ht="20.25" customHeight="1" x14ac:dyDescent="0.2">
      <c r="U244" s="44"/>
      <c r="V244" s="44"/>
      <c r="W244" s="45"/>
    </row>
    <row r="245" spans="21:23" ht="20.25" customHeight="1" x14ac:dyDescent="0.2">
      <c r="U245" s="44"/>
      <c r="V245" s="44"/>
      <c r="W245" s="45"/>
    </row>
    <row r="246" spans="21:23" ht="20.25" customHeight="1" x14ac:dyDescent="0.2">
      <c r="U246" s="44"/>
      <c r="V246" s="44"/>
      <c r="W246" s="45"/>
    </row>
    <row r="247" spans="21:23" ht="20.25" customHeight="1" x14ac:dyDescent="0.2">
      <c r="U247" s="44"/>
      <c r="V247" s="44"/>
      <c r="W247" s="45"/>
    </row>
    <row r="248" spans="21:23" ht="20.25" customHeight="1" x14ac:dyDescent="0.2">
      <c r="U248" s="44"/>
      <c r="V248" s="44"/>
      <c r="W248" s="45"/>
    </row>
    <row r="249" spans="21:23" ht="20.25" customHeight="1" x14ac:dyDescent="0.2">
      <c r="U249" s="44"/>
      <c r="V249" s="44"/>
      <c r="W249" s="45"/>
    </row>
    <row r="250" spans="21:23" ht="20.25" customHeight="1" x14ac:dyDescent="0.2">
      <c r="U250" s="44"/>
      <c r="V250" s="44"/>
      <c r="W250" s="45"/>
    </row>
    <row r="251" spans="21:23" ht="20.25" customHeight="1" x14ac:dyDescent="0.2">
      <c r="U251" s="44"/>
      <c r="V251" s="44"/>
      <c r="W251" s="45"/>
    </row>
    <row r="252" spans="21:23" ht="20.25" customHeight="1" x14ac:dyDescent="0.2">
      <c r="U252" s="44"/>
      <c r="V252" s="44"/>
      <c r="W252" s="45"/>
    </row>
    <row r="253" spans="21:23" ht="20.25" customHeight="1" x14ac:dyDescent="0.2">
      <c r="U253" s="44"/>
      <c r="V253" s="44"/>
      <c r="W253" s="45"/>
    </row>
    <row r="254" spans="21:23" ht="20.25" customHeight="1" x14ac:dyDescent="0.2">
      <c r="U254" s="44"/>
      <c r="V254" s="44"/>
      <c r="W254" s="45"/>
    </row>
    <row r="255" spans="21:23" ht="20.25" customHeight="1" x14ac:dyDescent="0.2">
      <c r="U255" s="44"/>
      <c r="V255" s="44"/>
      <c r="W255" s="45"/>
    </row>
    <row r="256" spans="21:23" ht="20.25" customHeight="1" x14ac:dyDescent="0.2">
      <c r="U256" s="44"/>
      <c r="V256" s="44"/>
      <c r="W256" s="45"/>
    </row>
    <row r="257" spans="21:23" ht="20.25" customHeight="1" x14ac:dyDescent="0.2">
      <c r="U257" s="44"/>
      <c r="V257" s="44"/>
      <c r="W257" s="45"/>
    </row>
    <row r="258" spans="21:23" ht="20.25" customHeight="1" x14ac:dyDescent="0.2">
      <c r="U258" s="44"/>
      <c r="V258" s="44"/>
      <c r="W258" s="45"/>
    </row>
    <row r="259" spans="21:23" ht="20.25" customHeight="1" x14ac:dyDescent="0.2">
      <c r="U259" s="44"/>
      <c r="V259" s="44"/>
      <c r="W259" s="45"/>
    </row>
    <row r="260" spans="21:23" ht="20.25" customHeight="1" x14ac:dyDescent="0.2">
      <c r="U260" s="44"/>
      <c r="V260" s="44"/>
      <c r="W260" s="45"/>
    </row>
    <row r="261" spans="21:23" ht="20.25" customHeight="1" x14ac:dyDescent="0.2">
      <c r="U261" s="44"/>
      <c r="V261" s="44"/>
      <c r="W261" s="45"/>
    </row>
    <row r="262" spans="21:23" ht="20.25" customHeight="1" x14ac:dyDescent="0.2">
      <c r="U262" s="44"/>
      <c r="V262" s="44"/>
      <c r="W262" s="45"/>
    </row>
    <row r="263" spans="21:23" ht="20.25" customHeight="1" x14ac:dyDescent="0.2">
      <c r="U263" s="44"/>
      <c r="V263" s="44"/>
      <c r="W263" s="45"/>
    </row>
    <row r="264" spans="21:23" ht="20.25" customHeight="1" x14ac:dyDescent="0.2">
      <c r="U264" s="44"/>
      <c r="V264" s="44"/>
      <c r="W264" s="45"/>
    </row>
    <row r="265" spans="21:23" ht="20.25" customHeight="1" x14ac:dyDescent="0.2">
      <c r="U265" s="44"/>
      <c r="V265" s="44"/>
      <c r="W265" s="45"/>
    </row>
    <row r="266" spans="21:23" ht="20.25" customHeight="1" x14ac:dyDescent="0.2">
      <c r="U266" s="44"/>
      <c r="V266" s="44"/>
      <c r="W266" s="45"/>
    </row>
    <row r="267" spans="21:23" ht="20.25" customHeight="1" x14ac:dyDescent="0.2">
      <c r="U267" s="44"/>
      <c r="V267" s="44"/>
      <c r="W267" s="45"/>
    </row>
    <row r="268" spans="21:23" ht="20.25" customHeight="1" x14ac:dyDescent="0.2">
      <c r="U268" s="44"/>
      <c r="V268" s="44"/>
      <c r="W268" s="45"/>
    </row>
    <row r="269" spans="21:23" ht="20.25" customHeight="1" x14ac:dyDescent="0.2">
      <c r="U269" s="44"/>
      <c r="V269" s="44"/>
      <c r="W269" s="45"/>
    </row>
    <row r="270" spans="21:23" ht="20.25" customHeight="1" x14ac:dyDescent="0.2">
      <c r="U270" s="44"/>
      <c r="V270" s="44"/>
      <c r="W270" s="45"/>
    </row>
    <row r="271" spans="21:23" ht="20.25" customHeight="1" x14ac:dyDescent="0.2">
      <c r="U271" s="44"/>
      <c r="V271" s="44"/>
      <c r="W271" s="45"/>
    </row>
    <row r="272" spans="21:23" ht="20.25" customHeight="1" x14ac:dyDescent="0.2">
      <c r="U272" s="44"/>
      <c r="V272" s="44"/>
      <c r="W272" s="45"/>
    </row>
    <row r="273" spans="21:23" ht="20.25" customHeight="1" x14ac:dyDescent="0.2">
      <c r="U273" s="44"/>
      <c r="V273" s="44"/>
      <c r="W273" s="45"/>
    </row>
    <row r="274" spans="21:23" ht="20.25" customHeight="1" x14ac:dyDescent="0.2">
      <c r="U274" s="44"/>
      <c r="V274" s="44"/>
      <c r="W274" s="45"/>
    </row>
    <row r="275" spans="21:23" ht="20.25" customHeight="1" x14ac:dyDescent="0.2">
      <c r="U275" s="44"/>
      <c r="V275" s="44"/>
      <c r="W275" s="45"/>
    </row>
    <row r="276" spans="21:23" ht="20.25" customHeight="1" x14ac:dyDescent="0.2">
      <c r="U276" s="44"/>
      <c r="V276" s="44"/>
      <c r="W276" s="45"/>
    </row>
    <row r="277" spans="21:23" ht="20.25" customHeight="1" x14ac:dyDescent="0.2">
      <c r="U277" s="44"/>
      <c r="V277" s="44"/>
      <c r="W277" s="45"/>
    </row>
    <row r="278" spans="21:23" ht="20.25" customHeight="1" x14ac:dyDescent="0.2">
      <c r="U278" s="44"/>
      <c r="V278" s="44"/>
      <c r="W278" s="45"/>
    </row>
    <row r="279" spans="21:23" ht="20.25" customHeight="1" x14ac:dyDescent="0.2">
      <c r="U279" s="44"/>
      <c r="V279" s="44"/>
      <c r="W279" s="45"/>
    </row>
    <row r="280" spans="21:23" ht="20.25" customHeight="1" x14ac:dyDescent="0.2">
      <c r="U280" s="44"/>
      <c r="V280" s="44"/>
      <c r="W280" s="45"/>
    </row>
    <row r="281" spans="21:23" ht="20.25" customHeight="1" x14ac:dyDescent="0.2">
      <c r="U281" s="44"/>
      <c r="V281" s="44"/>
      <c r="W281" s="45"/>
    </row>
    <row r="282" spans="21:23" ht="20.25" customHeight="1" x14ac:dyDescent="0.2">
      <c r="U282" s="44"/>
      <c r="V282" s="44"/>
      <c r="W282" s="45"/>
    </row>
    <row r="283" spans="21:23" ht="20.25" customHeight="1" x14ac:dyDescent="0.2">
      <c r="U283" s="44"/>
      <c r="V283" s="44"/>
      <c r="W283" s="45"/>
    </row>
    <row r="284" spans="21:23" ht="20.25" customHeight="1" x14ac:dyDescent="0.2">
      <c r="U284" s="44"/>
      <c r="V284" s="44"/>
      <c r="W284" s="45"/>
    </row>
    <row r="285" spans="21:23" ht="20.25" customHeight="1" x14ac:dyDescent="0.2">
      <c r="U285" s="44"/>
      <c r="V285" s="44"/>
      <c r="W285" s="45"/>
    </row>
    <row r="286" spans="21:23" ht="20.25" customHeight="1" x14ac:dyDescent="0.2">
      <c r="U286" s="44"/>
      <c r="V286" s="44"/>
      <c r="W286" s="45"/>
    </row>
    <row r="287" spans="21:23" ht="20.25" customHeight="1" x14ac:dyDescent="0.2">
      <c r="U287" s="44"/>
      <c r="V287" s="44"/>
      <c r="W287" s="45"/>
    </row>
    <row r="288" spans="21:23" ht="20.25" customHeight="1" x14ac:dyDescent="0.2">
      <c r="U288" s="44"/>
      <c r="V288" s="44"/>
      <c r="W288" s="45"/>
    </row>
    <row r="289" spans="21:23" ht="20.25" customHeight="1" x14ac:dyDescent="0.2">
      <c r="U289" s="44"/>
      <c r="V289" s="44"/>
      <c r="W289" s="45"/>
    </row>
    <row r="290" spans="21:23" ht="20.25" customHeight="1" x14ac:dyDescent="0.2">
      <c r="U290" s="44"/>
      <c r="V290" s="44"/>
      <c r="W290" s="45"/>
    </row>
    <row r="291" spans="21:23" ht="20.25" customHeight="1" x14ac:dyDescent="0.2">
      <c r="U291" s="44"/>
      <c r="V291" s="44"/>
      <c r="W291" s="45"/>
    </row>
    <row r="292" spans="21:23" ht="20.25" customHeight="1" x14ac:dyDescent="0.2">
      <c r="U292" s="44"/>
      <c r="V292" s="44"/>
      <c r="W292" s="45"/>
    </row>
    <row r="293" spans="21:23" ht="20.25" customHeight="1" x14ac:dyDescent="0.2">
      <c r="U293" s="44"/>
      <c r="V293" s="44"/>
      <c r="W293" s="45"/>
    </row>
    <row r="294" spans="21:23" ht="20.25" customHeight="1" x14ac:dyDescent="0.2">
      <c r="U294" s="44"/>
      <c r="V294" s="44"/>
      <c r="W294" s="45"/>
    </row>
    <row r="295" spans="21:23" ht="20.25" customHeight="1" x14ac:dyDescent="0.2">
      <c r="U295" s="44"/>
      <c r="V295" s="44"/>
      <c r="W295" s="45"/>
    </row>
    <row r="296" spans="21:23" ht="20.25" customHeight="1" x14ac:dyDescent="0.2">
      <c r="U296" s="44"/>
      <c r="V296" s="44"/>
      <c r="W296" s="45"/>
    </row>
    <row r="297" spans="21:23" ht="20.25" customHeight="1" x14ac:dyDescent="0.2">
      <c r="U297" s="44"/>
      <c r="V297" s="44"/>
      <c r="W297" s="45"/>
    </row>
    <row r="298" spans="21:23" ht="20.25" customHeight="1" x14ac:dyDescent="0.2">
      <c r="U298" s="44"/>
      <c r="V298" s="44"/>
      <c r="W298" s="45"/>
    </row>
    <row r="299" spans="21:23" ht="20.25" customHeight="1" x14ac:dyDescent="0.2">
      <c r="U299" s="44"/>
      <c r="V299" s="44"/>
      <c r="W299" s="45"/>
    </row>
    <row r="300" spans="21:23" ht="20.25" customHeight="1" x14ac:dyDescent="0.2">
      <c r="U300" s="44"/>
      <c r="V300" s="44"/>
      <c r="W300" s="45"/>
    </row>
    <row r="301" spans="21:23" ht="20.25" customHeight="1" x14ac:dyDescent="0.2">
      <c r="U301" s="44"/>
      <c r="V301" s="44"/>
      <c r="W301" s="45"/>
    </row>
    <row r="302" spans="21:23" ht="20.25" customHeight="1" x14ac:dyDescent="0.2">
      <c r="U302" s="44"/>
      <c r="V302" s="44"/>
      <c r="W302" s="45"/>
    </row>
    <row r="303" spans="21:23" ht="20.25" customHeight="1" x14ac:dyDescent="0.2">
      <c r="U303" s="44"/>
      <c r="V303" s="44"/>
      <c r="W303" s="45"/>
    </row>
    <row r="304" spans="21:23" ht="20.25" customHeight="1" x14ac:dyDescent="0.2">
      <c r="U304" s="44"/>
      <c r="V304" s="44"/>
      <c r="W304" s="45"/>
    </row>
    <row r="305" spans="21:23" ht="20.25" customHeight="1" x14ac:dyDescent="0.2">
      <c r="U305" s="44"/>
      <c r="V305" s="44"/>
      <c r="W305" s="45"/>
    </row>
    <row r="306" spans="21:23" ht="20.25" customHeight="1" x14ac:dyDescent="0.2">
      <c r="U306" s="44"/>
      <c r="V306" s="44"/>
      <c r="W306" s="45"/>
    </row>
    <row r="307" spans="21:23" ht="20.25" customHeight="1" x14ac:dyDescent="0.2">
      <c r="U307" s="44"/>
      <c r="V307" s="44"/>
      <c r="W307" s="45"/>
    </row>
    <row r="308" spans="21:23" ht="20.25" customHeight="1" x14ac:dyDescent="0.2">
      <c r="U308" s="44"/>
      <c r="V308" s="44"/>
      <c r="W308" s="45"/>
    </row>
    <row r="309" spans="21:23" ht="20.25" customHeight="1" x14ac:dyDescent="0.2">
      <c r="U309" s="44"/>
      <c r="V309" s="44"/>
      <c r="W309" s="45"/>
    </row>
    <row r="310" spans="21:23" ht="20.25" customHeight="1" x14ac:dyDescent="0.2">
      <c r="U310" s="44"/>
      <c r="V310" s="44"/>
      <c r="W310" s="45"/>
    </row>
    <row r="311" spans="21:23" ht="20.25" customHeight="1" x14ac:dyDescent="0.2">
      <c r="U311" s="44"/>
      <c r="V311" s="44"/>
      <c r="W311" s="45"/>
    </row>
    <row r="312" spans="21:23" ht="20.25" customHeight="1" x14ac:dyDescent="0.2">
      <c r="U312" s="44"/>
      <c r="V312" s="44"/>
      <c r="W312" s="45"/>
    </row>
    <row r="313" spans="21:23" ht="20.25" customHeight="1" x14ac:dyDescent="0.2">
      <c r="U313" s="44"/>
      <c r="V313" s="44"/>
      <c r="W313" s="45"/>
    </row>
    <row r="314" spans="21:23" ht="20.25" customHeight="1" x14ac:dyDescent="0.2">
      <c r="U314" s="44"/>
      <c r="V314" s="44"/>
      <c r="W314" s="45"/>
    </row>
    <row r="315" spans="21:23" ht="20.25" customHeight="1" x14ac:dyDescent="0.2">
      <c r="U315" s="44"/>
      <c r="V315" s="44"/>
      <c r="W315" s="45"/>
    </row>
    <row r="316" spans="21:23" ht="20.25" customHeight="1" x14ac:dyDescent="0.2">
      <c r="U316" s="44"/>
      <c r="V316" s="44"/>
      <c r="W316" s="45"/>
    </row>
    <row r="317" spans="21:23" ht="20.25" customHeight="1" x14ac:dyDescent="0.2">
      <c r="U317" s="44"/>
      <c r="V317" s="44"/>
      <c r="W317" s="45"/>
    </row>
    <row r="318" spans="21:23" ht="20.25" customHeight="1" x14ac:dyDescent="0.2">
      <c r="U318" s="44"/>
      <c r="V318" s="44"/>
      <c r="W318" s="45"/>
    </row>
    <row r="319" spans="21:23" ht="20.25" customHeight="1" x14ac:dyDescent="0.2">
      <c r="U319" s="44"/>
      <c r="V319" s="44"/>
      <c r="W319" s="45"/>
    </row>
    <row r="320" spans="21:23" ht="20.25" customHeight="1" x14ac:dyDescent="0.2">
      <c r="U320" s="44"/>
      <c r="V320" s="44"/>
      <c r="W320" s="45"/>
    </row>
    <row r="321" spans="21:23" ht="20.25" customHeight="1" x14ac:dyDescent="0.2">
      <c r="U321" s="44"/>
      <c r="V321" s="44"/>
      <c r="W321" s="45"/>
    </row>
    <row r="322" spans="21:23" ht="20.25" customHeight="1" x14ac:dyDescent="0.2">
      <c r="U322" s="44"/>
      <c r="V322" s="44"/>
      <c r="W322" s="45"/>
    </row>
    <row r="323" spans="21:23" ht="20.25" customHeight="1" x14ac:dyDescent="0.2">
      <c r="U323" s="44"/>
      <c r="V323" s="44"/>
      <c r="W323" s="45"/>
    </row>
    <row r="324" spans="21:23" ht="20.25" customHeight="1" x14ac:dyDescent="0.2">
      <c r="U324" s="44"/>
      <c r="V324" s="44"/>
      <c r="W324" s="45"/>
    </row>
    <row r="325" spans="21:23" ht="20.25" customHeight="1" x14ac:dyDescent="0.2">
      <c r="U325" s="44"/>
      <c r="V325" s="44"/>
      <c r="W325" s="45"/>
    </row>
    <row r="326" spans="21:23" ht="20.25" customHeight="1" x14ac:dyDescent="0.2">
      <c r="U326" s="44"/>
      <c r="V326" s="44"/>
      <c r="W326" s="45"/>
    </row>
    <row r="327" spans="21:23" ht="20.25" customHeight="1" x14ac:dyDescent="0.2">
      <c r="U327" s="44"/>
      <c r="V327" s="44"/>
      <c r="W327" s="45"/>
    </row>
    <row r="328" spans="21:23" ht="20.25" customHeight="1" x14ac:dyDescent="0.2">
      <c r="U328" s="44"/>
      <c r="V328" s="44"/>
      <c r="W328" s="45"/>
    </row>
    <row r="329" spans="21:23" ht="20.25" customHeight="1" x14ac:dyDescent="0.2">
      <c r="U329" s="44"/>
      <c r="V329" s="44"/>
      <c r="W329" s="45"/>
    </row>
    <row r="330" spans="21:23" ht="20.25" customHeight="1" x14ac:dyDescent="0.2">
      <c r="U330" s="44"/>
      <c r="V330" s="44"/>
      <c r="W330" s="45"/>
    </row>
    <row r="331" spans="21:23" ht="20.25" customHeight="1" x14ac:dyDescent="0.2"/>
    <row r="332" spans="21:23" ht="20.25" customHeight="1" x14ac:dyDescent="0.2"/>
    <row r="333" spans="21:23" ht="20.25" customHeight="1" x14ac:dyDescent="0.2"/>
    <row r="334" spans="21:23" ht="20.25" customHeight="1" x14ac:dyDescent="0.2"/>
    <row r="335" spans="21:23" ht="20.25" customHeight="1" x14ac:dyDescent="0.2"/>
    <row r="336" spans="21:23" ht="20.25" customHeight="1" x14ac:dyDescent="0.2"/>
    <row r="337" ht="20.25" customHeight="1" x14ac:dyDescent="0.2"/>
    <row r="338" ht="20.25" customHeight="1" x14ac:dyDescent="0.2"/>
    <row r="339" ht="20.25" customHeight="1" x14ac:dyDescent="0.2"/>
    <row r="340" ht="20.25" customHeight="1" x14ac:dyDescent="0.2"/>
    <row r="341" ht="20.25" customHeight="1" x14ac:dyDescent="0.2"/>
    <row r="342" ht="20.25" customHeight="1" x14ac:dyDescent="0.2"/>
    <row r="343" ht="20.25" customHeight="1" x14ac:dyDescent="0.2"/>
    <row r="344" ht="20.25" customHeight="1" x14ac:dyDescent="0.2"/>
    <row r="345" ht="20.25" customHeight="1" x14ac:dyDescent="0.2"/>
    <row r="346" ht="20.25" customHeight="1" x14ac:dyDescent="0.2"/>
    <row r="347" ht="20.25" customHeight="1" x14ac:dyDescent="0.2"/>
    <row r="348" ht="20.25" customHeight="1" x14ac:dyDescent="0.2"/>
    <row r="349" ht="20.25" customHeight="1" x14ac:dyDescent="0.2"/>
    <row r="350" ht="20.25" customHeight="1" x14ac:dyDescent="0.2"/>
    <row r="351" ht="20.25" customHeight="1" x14ac:dyDescent="0.2"/>
    <row r="352" ht="20.25" customHeight="1" x14ac:dyDescent="0.2"/>
    <row r="353" ht="20.25" customHeight="1" x14ac:dyDescent="0.2"/>
    <row r="354" ht="20.25" customHeight="1" x14ac:dyDescent="0.2"/>
    <row r="355" ht="20.25" customHeight="1" x14ac:dyDescent="0.2"/>
    <row r="356" ht="20.25" customHeight="1" x14ac:dyDescent="0.2"/>
    <row r="357" ht="20.25" customHeight="1" x14ac:dyDescent="0.2"/>
    <row r="358" ht="20.25" customHeight="1" x14ac:dyDescent="0.2"/>
    <row r="359" ht="20.25" customHeight="1" x14ac:dyDescent="0.2"/>
    <row r="360" ht="20.25" customHeight="1" x14ac:dyDescent="0.2"/>
    <row r="361" ht="20.25" customHeight="1" x14ac:dyDescent="0.2"/>
    <row r="362" ht="20.25" customHeight="1" x14ac:dyDescent="0.2"/>
    <row r="363" ht="20.25" customHeight="1" x14ac:dyDescent="0.2"/>
    <row r="364" ht="20.25" customHeight="1" x14ac:dyDescent="0.2"/>
    <row r="365" ht="20.25" customHeight="1" x14ac:dyDescent="0.2"/>
  </sheetData>
  <mergeCells count="13">
    <mergeCell ref="C94:D94"/>
    <mergeCell ref="B118:C118"/>
    <mergeCell ref="B129:C129"/>
    <mergeCell ref="B55:T55"/>
    <mergeCell ref="B147:T147"/>
    <mergeCell ref="B114:T114"/>
    <mergeCell ref="B2:T2"/>
    <mergeCell ref="B40:T40"/>
    <mergeCell ref="B24:T24"/>
    <mergeCell ref="B10:T10"/>
    <mergeCell ref="C73:D73"/>
    <mergeCell ref="C4:D4"/>
    <mergeCell ref="E15:T15"/>
  </mergeCells>
  <phoneticPr fontId="3"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74F71CA-1999-4AD7-9253-FBD111313677}">
          <x14:formula1>
            <xm:f>Lists!$B$3:$B$4</xm:f>
          </x14:formula1>
          <xm:sqref>C116 C12 C149 C26 C57 C42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E6A4C-BDF0-426C-A896-94946A3E990F}">
  <dimension ref="A1:W229"/>
  <sheetViews>
    <sheetView showGridLines="0" zoomScaleNormal="100" workbookViewId="0"/>
  </sheetViews>
  <sheetFormatPr baseColWidth="10" defaultColWidth="8.83203125" defaultRowHeight="14" x14ac:dyDescent="0.2"/>
  <cols>
    <col min="1" max="1" width="10.6640625" style="37" customWidth="1"/>
    <col min="2" max="2" width="23.83203125" style="37" bestFit="1" customWidth="1"/>
    <col min="3" max="3" width="23.6640625" style="37" bestFit="1" customWidth="1"/>
    <col min="4" max="4" width="3.6640625" style="37" customWidth="1"/>
    <col min="5" max="5" width="16.5" style="37" bestFit="1" customWidth="1"/>
    <col min="6" max="6" width="15.33203125" style="37" bestFit="1" customWidth="1"/>
    <col min="7" max="7" width="14.83203125" style="37" bestFit="1" customWidth="1"/>
    <col min="8" max="14" width="12.6640625" style="37" customWidth="1"/>
    <col min="15" max="16" width="10.6640625" style="37" customWidth="1"/>
    <col min="17" max="22" width="12.6640625" style="37" customWidth="1"/>
    <col min="23" max="23" width="10.6640625" style="37" customWidth="1"/>
    <col min="24" max="16384" width="8.83203125" style="37"/>
  </cols>
  <sheetData>
    <row r="1" spans="1:23" ht="20.25" customHeight="1" x14ac:dyDescent="0.2"/>
    <row r="2" spans="1:23" ht="20.25" customHeight="1" x14ac:dyDescent="0.2">
      <c r="B2" s="39" t="s">
        <v>333</v>
      </c>
      <c r="C2" s="111">
        <f>'Calculations &amp; Assumptions'!C6</f>
        <v>129.9</v>
      </c>
    </row>
    <row r="3" spans="1:23" ht="20.25" customHeight="1" x14ac:dyDescent="0.2">
      <c r="A3" s="43"/>
      <c r="B3" s="44"/>
      <c r="C3" s="44"/>
      <c r="D3" s="44"/>
      <c r="E3" s="44"/>
      <c r="F3" s="44"/>
      <c r="G3" s="44"/>
      <c r="H3" s="44"/>
      <c r="I3" s="44"/>
      <c r="J3" s="44"/>
      <c r="K3" s="44"/>
      <c r="L3" s="44"/>
      <c r="M3" s="44"/>
      <c r="N3" s="44"/>
      <c r="O3" s="44"/>
      <c r="P3" s="44"/>
      <c r="Q3" s="44"/>
      <c r="R3" s="44"/>
      <c r="S3" s="44"/>
      <c r="T3" s="44"/>
      <c r="U3" s="44"/>
      <c r="V3" s="44"/>
      <c r="W3" s="45"/>
    </row>
    <row r="4" spans="1:23" ht="20.25" customHeight="1" x14ac:dyDescent="0.2">
      <c r="A4" s="43"/>
      <c r="B4" s="122" t="s">
        <v>587</v>
      </c>
      <c r="C4" s="123"/>
      <c r="D4" s="123"/>
      <c r="E4" s="123"/>
      <c r="F4" s="123"/>
      <c r="G4" s="123"/>
      <c r="H4" s="123"/>
      <c r="I4" s="123"/>
      <c r="J4" s="123"/>
      <c r="K4" s="123"/>
      <c r="L4" s="123"/>
      <c r="M4" s="123"/>
      <c r="N4" s="123"/>
      <c r="O4" s="44"/>
      <c r="P4" s="44"/>
      <c r="Q4" s="44"/>
      <c r="R4" s="44"/>
      <c r="S4" s="44"/>
      <c r="T4" s="44"/>
      <c r="U4" s="44"/>
      <c r="V4" s="44"/>
      <c r="W4" s="45"/>
    </row>
    <row r="5" spans="1:23" ht="20.25" customHeight="1" x14ac:dyDescent="0.2">
      <c r="A5" s="43"/>
      <c r="B5" s="44"/>
      <c r="C5" s="44"/>
      <c r="D5" s="44"/>
      <c r="E5" s="44"/>
      <c r="F5" s="44"/>
      <c r="G5" s="44"/>
      <c r="H5" s="44"/>
      <c r="I5" s="44"/>
      <c r="J5" s="44"/>
      <c r="K5" s="44"/>
      <c r="L5" s="44"/>
      <c r="M5" s="44"/>
      <c r="N5" s="44"/>
      <c r="O5" s="44"/>
      <c r="P5" s="44"/>
      <c r="Q5" s="44"/>
      <c r="R5" s="44"/>
      <c r="S5" s="44"/>
      <c r="T5" s="44"/>
      <c r="U5" s="44"/>
      <c r="V5" s="44"/>
      <c r="W5" s="45"/>
    </row>
    <row r="6" spans="1:23" ht="30" x14ac:dyDescent="0.2">
      <c r="A6" s="43"/>
      <c r="C6" s="39" t="s">
        <v>588</v>
      </c>
      <c r="E6" s="39" t="s">
        <v>563</v>
      </c>
      <c r="F6" s="39" t="s">
        <v>380</v>
      </c>
      <c r="G6" s="115" t="s">
        <v>592</v>
      </c>
      <c r="H6" s="44"/>
      <c r="I6" s="44"/>
      <c r="J6" s="44"/>
      <c r="K6" s="44"/>
      <c r="L6" s="44"/>
      <c r="M6" s="44"/>
      <c r="N6" s="44"/>
      <c r="O6" s="44"/>
      <c r="P6" s="44"/>
      <c r="Q6" s="44"/>
      <c r="R6" s="44"/>
      <c r="S6" s="44"/>
      <c r="T6" s="44"/>
      <c r="U6" s="44"/>
      <c r="V6" s="44"/>
      <c r="W6" s="45"/>
    </row>
    <row r="7" spans="1:23" ht="20.25" customHeight="1" x14ac:dyDescent="0.2">
      <c r="A7" s="43"/>
      <c r="B7" s="39" t="s">
        <v>302</v>
      </c>
      <c r="C7" s="111">
        <v>330</v>
      </c>
      <c r="D7" s="44"/>
      <c r="E7" s="111">
        <v>350</v>
      </c>
      <c r="F7" s="111" t="s">
        <v>307</v>
      </c>
      <c r="G7" s="114">
        <f>(E7-C7)/C7</f>
        <v>6.0606060606060608E-2</v>
      </c>
      <c r="H7" s="116">
        <v>0</v>
      </c>
      <c r="I7" s="117"/>
      <c r="J7" s="44"/>
      <c r="K7" s="44"/>
      <c r="L7" s="44"/>
      <c r="M7" s="44"/>
      <c r="N7" s="44"/>
      <c r="O7" s="44"/>
      <c r="P7" s="44"/>
      <c r="Q7" s="44"/>
      <c r="R7" s="44"/>
      <c r="S7" s="44"/>
      <c r="T7" s="44"/>
      <c r="U7" s="44"/>
      <c r="V7" s="44"/>
      <c r="W7" s="45"/>
    </row>
    <row r="8" spans="1:23" ht="20.25" customHeight="1" x14ac:dyDescent="0.2">
      <c r="A8" s="43"/>
      <c r="B8" s="39" t="s">
        <v>303</v>
      </c>
      <c r="C8" s="111">
        <v>62</v>
      </c>
      <c r="D8" s="44"/>
      <c r="E8" s="111">
        <v>120</v>
      </c>
      <c r="F8" s="111" t="s">
        <v>307</v>
      </c>
      <c r="G8" s="114">
        <f t="shared" ref="G8:G14" si="0">(E8-C8)/C8</f>
        <v>0.93548387096774188</v>
      </c>
      <c r="H8" s="116">
        <v>0</v>
      </c>
      <c r="I8" s="117"/>
      <c r="J8" s="44"/>
      <c r="K8" s="44"/>
      <c r="L8" s="44"/>
      <c r="M8" s="44"/>
      <c r="N8" s="44"/>
      <c r="O8" s="44"/>
      <c r="P8" s="44"/>
      <c r="Q8" s="44"/>
      <c r="R8" s="44"/>
      <c r="S8" s="44"/>
      <c r="T8" s="44"/>
      <c r="U8" s="44"/>
      <c r="V8" s="44"/>
      <c r="W8" s="45"/>
    </row>
    <row r="9" spans="1:23" ht="20.25" customHeight="1" x14ac:dyDescent="0.2">
      <c r="A9" s="43"/>
      <c r="B9" s="39" t="s">
        <v>95</v>
      </c>
      <c r="C9" s="111">
        <v>180</v>
      </c>
      <c r="D9" s="44"/>
      <c r="E9" s="111">
        <v>250</v>
      </c>
      <c r="F9" s="111" t="s">
        <v>308</v>
      </c>
      <c r="G9" s="114">
        <f t="shared" si="0"/>
        <v>0.3888888888888889</v>
      </c>
      <c r="H9" s="116">
        <v>0</v>
      </c>
      <c r="I9" s="117"/>
      <c r="J9" s="44"/>
      <c r="K9" s="44"/>
      <c r="L9" s="44"/>
      <c r="M9" s="44"/>
      <c r="N9" s="44"/>
      <c r="O9" s="44"/>
      <c r="P9" s="44"/>
      <c r="Q9" s="44"/>
      <c r="R9" s="44"/>
      <c r="S9" s="44"/>
      <c r="T9" s="44"/>
      <c r="U9" s="44"/>
      <c r="V9" s="44"/>
      <c r="W9" s="45"/>
    </row>
    <row r="10" spans="1:23" ht="20.25" customHeight="1" x14ac:dyDescent="0.2">
      <c r="A10" s="43"/>
      <c r="B10" s="39" t="s">
        <v>311</v>
      </c>
      <c r="C10" s="111">
        <v>380</v>
      </c>
      <c r="D10" s="44"/>
      <c r="E10" s="111">
        <v>460</v>
      </c>
      <c r="F10" s="111" t="s">
        <v>309</v>
      </c>
      <c r="G10" s="114">
        <f t="shared" si="0"/>
        <v>0.21052631578947367</v>
      </c>
      <c r="H10" s="116">
        <v>0</v>
      </c>
      <c r="I10" s="117"/>
      <c r="J10" s="44"/>
      <c r="K10" s="44"/>
      <c r="L10" s="44"/>
      <c r="M10" s="44"/>
      <c r="N10" s="44"/>
      <c r="O10" s="44"/>
      <c r="P10" s="44"/>
      <c r="Q10" s="44"/>
      <c r="R10" s="44"/>
      <c r="S10" s="44"/>
      <c r="T10" s="44"/>
      <c r="U10" s="44"/>
      <c r="V10" s="44"/>
      <c r="W10" s="45"/>
    </row>
    <row r="11" spans="1:23" ht="20.25" customHeight="1" x14ac:dyDescent="0.2">
      <c r="A11" s="43"/>
      <c r="B11" s="39" t="s">
        <v>590</v>
      </c>
      <c r="C11" s="111">
        <v>126</v>
      </c>
      <c r="D11" s="44"/>
      <c r="E11" s="111">
        <v>98</v>
      </c>
      <c r="F11" s="111" t="s">
        <v>309</v>
      </c>
      <c r="G11" s="114">
        <f t="shared" si="0"/>
        <v>-0.22222222222222221</v>
      </c>
      <c r="H11" s="116">
        <v>0</v>
      </c>
      <c r="I11" s="117"/>
      <c r="J11" s="44"/>
      <c r="K11" s="44"/>
      <c r="L11" s="44"/>
      <c r="M11" s="44"/>
      <c r="N11" s="44"/>
      <c r="O11" s="44"/>
      <c r="P11" s="44"/>
      <c r="Q11" s="44"/>
      <c r="R11" s="44"/>
      <c r="S11" s="44"/>
      <c r="T11" s="44"/>
      <c r="U11" s="44"/>
      <c r="V11" s="44"/>
      <c r="W11" s="45"/>
    </row>
    <row r="12" spans="1:23" ht="20.25" customHeight="1" x14ac:dyDescent="0.2">
      <c r="A12" s="43"/>
      <c r="B12" s="39" t="s">
        <v>304</v>
      </c>
      <c r="C12" s="111">
        <v>205</v>
      </c>
      <c r="D12" s="44"/>
      <c r="E12" s="111">
        <v>420</v>
      </c>
      <c r="F12" s="111" t="s">
        <v>308</v>
      </c>
      <c r="G12" s="114">
        <f t="shared" si="0"/>
        <v>1.0487804878048781</v>
      </c>
      <c r="H12" s="116">
        <v>0</v>
      </c>
      <c r="I12" s="117"/>
      <c r="J12" s="44"/>
      <c r="K12" s="44"/>
      <c r="L12" s="44"/>
      <c r="M12" s="44"/>
      <c r="N12" s="44"/>
      <c r="O12" s="44"/>
      <c r="P12" s="44"/>
      <c r="Q12" s="44"/>
      <c r="R12" s="44"/>
      <c r="S12" s="44"/>
      <c r="T12" s="44"/>
      <c r="U12" s="44"/>
      <c r="V12" s="44"/>
      <c r="W12" s="45"/>
    </row>
    <row r="13" spans="1:23" ht="20.25" customHeight="1" x14ac:dyDescent="0.2">
      <c r="A13" s="43"/>
      <c r="B13" s="39" t="s">
        <v>325</v>
      </c>
      <c r="C13" s="111">
        <v>245</v>
      </c>
      <c r="D13" s="44"/>
      <c r="E13" s="111">
        <v>250</v>
      </c>
      <c r="F13" s="111" t="s">
        <v>308</v>
      </c>
      <c r="G13" s="114">
        <f t="shared" si="0"/>
        <v>2.0408163265306121E-2</v>
      </c>
      <c r="H13" s="116">
        <v>0</v>
      </c>
      <c r="I13" s="117"/>
      <c r="J13" s="44"/>
      <c r="K13" s="44"/>
      <c r="L13" s="44"/>
      <c r="M13" s="44"/>
      <c r="N13" s="44"/>
      <c r="O13" s="44"/>
      <c r="P13" s="44"/>
      <c r="Q13" s="44"/>
      <c r="R13" s="44"/>
      <c r="S13" s="44"/>
      <c r="T13" s="44"/>
      <c r="U13" s="44"/>
      <c r="V13" s="44"/>
      <c r="W13" s="45"/>
    </row>
    <row r="14" spans="1:23" ht="20.25" customHeight="1" x14ac:dyDescent="0.2">
      <c r="A14" s="43"/>
      <c r="B14" s="39" t="s">
        <v>589</v>
      </c>
      <c r="C14" s="111">
        <v>50</v>
      </c>
      <c r="D14" s="44"/>
      <c r="E14" s="111">
        <v>50</v>
      </c>
      <c r="F14" s="111" t="s">
        <v>591</v>
      </c>
      <c r="G14" s="114">
        <f t="shared" si="0"/>
        <v>0</v>
      </c>
      <c r="H14" s="116">
        <v>0</v>
      </c>
      <c r="I14" s="117"/>
      <c r="J14" s="44"/>
      <c r="K14" s="44"/>
      <c r="L14" s="44"/>
      <c r="M14" s="44"/>
      <c r="N14" s="44"/>
      <c r="O14" s="44"/>
      <c r="P14" s="44"/>
      <c r="Q14" s="44"/>
      <c r="R14" s="44"/>
      <c r="S14" s="44"/>
      <c r="T14" s="44"/>
      <c r="U14" s="44"/>
      <c r="V14" s="44"/>
      <c r="W14" s="45"/>
    </row>
    <row r="15" spans="1:23" ht="20.25" customHeight="1" x14ac:dyDescent="0.2">
      <c r="A15" s="44"/>
      <c r="B15" s="44"/>
      <c r="C15" s="44"/>
      <c r="D15" s="44"/>
      <c r="E15" s="44"/>
      <c r="F15" s="44"/>
      <c r="G15" s="44"/>
      <c r="H15" s="44"/>
      <c r="I15" s="44"/>
      <c r="J15" s="44"/>
      <c r="K15" s="44"/>
      <c r="L15" s="44"/>
      <c r="M15" s="44"/>
      <c r="N15" s="44"/>
      <c r="O15" s="44"/>
      <c r="P15" s="44"/>
      <c r="Q15" s="44"/>
      <c r="R15" s="44"/>
      <c r="S15" s="44"/>
      <c r="T15" s="44"/>
      <c r="U15" s="44"/>
      <c r="V15" s="44"/>
      <c r="W15" s="45"/>
    </row>
    <row r="16" spans="1:23" ht="45" x14ac:dyDescent="0.2">
      <c r="A16" s="43"/>
      <c r="B16" s="136" t="s">
        <v>131</v>
      </c>
      <c r="C16" s="137"/>
      <c r="E16" s="39" t="s">
        <v>593</v>
      </c>
      <c r="F16" s="39" t="s">
        <v>380</v>
      </c>
      <c r="G16" s="118" t="s">
        <v>594</v>
      </c>
      <c r="H16" s="118" t="s">
        <v>595</v>
      </c>
      <c r="I16" s="115" t="s">
        <v>592</v>
      </c>
      <c r="J16" s="44"/>
      <c r="K16" s="44"/>
      <c r="L16" s="44"/>
      <c r="M16" s="44"/>
      <c r="N16" s="44"/>
      <c r="O16" s="44"/>
      <c r="P16" s="44"/>
      <c r="Q16" s="44"/>
      <c r="R16" s="44"/>
      <c r="S16" s="44"/>
      <c r="T16" s="44"/>
      <c r="U16" s="44"/>
      <c r="V16" s="44"/>
      <c r="W16" s="45"/>
    </row>
    <row r="17" spans="1:23" ht="20.25" customHeight="1" x14ac:dyDescent="0.2">
      <c r="A17" s="43"/>
      <c r="B17" s="133" t="s">
        <v>602</v>
      </c>
      <c r="C17" s="135"/>
      <c r="E17" s="120">
        <v>0.05</v>
      </c>
      <c r="F17" s="120" t="s">
        <v>334</v>
      </c>
      <c r="G17" s="121">
        <f>E17*C7*$C$2</f>
        <v>2143.35</v>
      </c>
      <c r="H17" s="121">
        <f>E17*E7*$C$2</f>
        <v>2273.25</v>
      </c>
      <c r="I17" s="114">
        <f t="shared" ref="I17:I36" si="1">(H17-G17)/G17</f>
        <v>6.0606060606060649E-2</v>
      </c>
      <c r="J17" s="44" t="s">
        <v>596</v>
      </c>
      <c r="K17" s="44"/>
      <c r="L17" s="44"/>
      <c r="M17" s="44"/>
      <c r="N17" s="44"/>
      <c r="O17" s="44"/>
      <c r="P17" s="44"/>
      <c r="Q17" s="44"/>
      <c r="R17" s="44"/>
      <c r="S17" s="44"/>
      <c r="T17" s="44"/>
      <c r="U17" s="44"/>
      <c r="V17" s="44"/>
      <c r="W17" s="45"/>
    </row>
    <row r="18" spans="1:23" ht="20.25" customHeight="1" x14ac:dyDescent="0.2">
      <c r="A18" s="43"/>
      <c r="B18" s="133" t="s">
        <v>603</v>
      </c>
      <c r="C18" s="135"/>
      <c r="E18" s="120">
        <v>0.1</v>
      </c>
      <c r="F18" s="120" t="s">
        <v>334</v>
      </c>
      <c r="G18" s="121">
        <f>E18*C7*$C$2</f>
        <v>4286.7</v>
      </c>
      <c r="H18" s="121">
        <f>E18*E7*$C$2</f>
        <v>4546.5</v>
      </c>
      <c r="I18" s="114">
        <f t="shared" si="1"/>
        <v>6.0606060606060649E-2</v>
      </c>
      <c r="J18" s="44" t="s">
        <v>596</v>
      </c>
      <c r="K18" s="44"/>
      <c r="L18" s="44"/>
      <c r="M18" s="44"/>
      <c r="N18" s="44"/>
      <c r="O18" s="44"/>
      <c r="P18" s="44"/>
      <c r="Q18" s="44"/>
      <c r="R18" s="44"/>
      <c r="S18" s="44"/>
      <c r="T18" s="44"/>
      <c r="U18" s="44"/>
      <c r="V18" s="44"/>
      <c r="W18" s="45"/>
    </row>
    <row r="19" spans="1:23" ht="20.25" customHeight="1" x14ac:dyDescent="0.2">
      <c r="A19" s="43"/>
      <c r="B19" s="133" t="s">
        <v>604</v>
      </c>
      <c r="C19" s="135"/>
      <c r="E19" s="120">
        <v>0.13</v>
      </c>
      <c r="F19" s="120" t="s">
        <v>334</v>
      </c>
      <c r="G19" s="121">
        <f>E19*C7*$C$2</f>
        <v>5572.71</v>
      </c>
      <c r="H19" s="121">
        <f>E19*E7*$C$2</f>
        <v>5910.45</v>
      </c>
      <c r="I19" s="114">
        <f t="shared" si="1"/>
        <v>6.0606060606060566E-2</v>
      </c>
      <c r="J19" s="44" t="s">
        <v>596</v>
      </c>
      <c r="K19" s="44"/>
      <c r="L19" s="44"/>
      <c r="M19" s="44"/>
      <c r="N19" s="44"/>
      <c r="O19" s="44"/>
      <c r="P19" s="44"/>
      <c r="Q19" s="44"/>
      <c r="R19" s="44"/>
      <c r="S19" s="44"/>
      <c r="T19" s="44"/>
      <c r="U19" s="44"/>
      <c r="V19" s="44"/>
      <c r="W19" s="45"/>
    </row>
    <row r="20" spans="1:23" ht="20.25" customHeight="1" x14ac:dyDescent="0.2">
      <c r="A20" s="43"/>
      <c r="B20" s="133" t="s">
        <v>605</v>
      </c>
      <c r="C20" s="135"/>
      <c r="E20" s="120">
        <v>0.3</v>
      </c>
      <c r="F20" s="120" t="s">
        <v>334</v>
      </c>
      <c r="G20" s="121">
        <f>E20*C7*$C$2</f>
        <v>12860.1</v>
      </c>
      <c r="H20" s="121">
        <f>E20*E7*$C$2</f>
        <v>13639.5</v>
      </c>
      <c r="I20" s="114">
        <f t="shared" si="1"/>
        <v>6.0606060606060573E-2</v>
      </c>
      <c r="J20" s="44" t="s">
        <v>596</v>
      </c>
      <c r="K20" s="44"/>
      <c r="L20" s="44"/>
      <c r="M20" s="44"/>
      <c r="N20" s="44"/>
      <c r="O20" s="44"/>
      <c r="P20" s="44"/>
      <c r="Q20" s="44"/>
      <c r="R20" s="44"/>
      <c r="S20" s="44"/>
      <c r="T20" s="44"/>
      <c r="U20" s="44"/>
      <c r="V20" s="44"/>
      <c r="W20" s="45"/>
    </row>
    <row r="21" spans="1:23" ht="20.25" customHeight="1" x14ac:dyDescent="0.2">
      <c r="A21" s="43"/>
      <c r="B21" s="133" t="s">
        <v>606</v>
      </c>
      <c r="C21" s="135"/>
      <c r="E21" s="120">
        <v>0.35</v>
      </c>
      <c r="F21" s="120" t="s">
        <v>334</v>
      </c>
      <c r="G21" s="121">
        <f>E21*C7*$C$2</f>
        <v>15003.449999999999</v>
      </c>
      <c r="H21" s="121">
        <f>E21*E7*$C$2</f>
        <v>15912.749999999998</v>
      </c>
      <c r="I21" s="114">
        <f t="shared" si="1"/>
        <v>6.0606060606060559E-2</v>
      </c>
      <c r="J21" s="44" t="s">
        <v>596</v>
      </c>
      <c r="K21" s="44"/>
      <c r="L21" s="44"/>
      <c r="M21" s="44"/>
      <c r="N21" s="44"/>
      <c r="O21" s="44"/>
      <c r="P21" s="44"/>
      <c r="Q21" s="44"/>
      <c r="R21" s="44"/>
      <c r="S21" s="44"/>
      <c r="T21" s="44"/>
      <c r="U21" s="44"/>
      <c r="V21" s="44"/>
      <c r="W21" s="45"/>
    </row>
    <row r="22" spans="1:23" ht="20.25" customHeight="1" x14ac:dyDescent="0.2">
      <c r="A22" s="43"/>
      <c r="B22" s="133" t="s">
        <v>303</v>
      </c>
      <c r="C22" s="135"/>
      <c r="E22" s="111">
        <v>1</v>
      </c>
      <c r="F22" s="120" t="s">
        <v>334</v>
      </c>
      <c r="G22" s="121">
        <f>C8*$C$2</f>
        <v>8053.8</v>
      </c>
      <c r="H22" s="121">
        <f>E8*$C$2</f>
        <v>15588</v>
      </c>
      <c r="I22" s="114">
        <f t="shared" si="1"/>
        <v>0.93548387096774188</v>
      </c>
      <c r="J22" s="44" t="s">
        <v>596</v>
      </c>
      <c r="K22" s="44"/>
      <c r="L22" s="44"/>
      <c r="M22" s="44"/>
      <c r="N22" s="44"/>
      <c r="O22" s="44"/>
      <c r="P22" s="44"/>
      <c r="Q22" s="44"/>
      <c r="R22" s="44"/>
      <c r="S22" s="44"/>
      <c r="T22" s="44"/>
      <c r="U22" s="44"/>
      <c r="V22" s="44"/>
      <c r="W22" s="45"/>
    </row>
    <row r="23" spans="1:23" ht="20.25" customHeight="1" x14ac:dyDescent="0.2">
      <c r="A23" s="43"/>
      <c r="B23" s="133" t="s">
        <v>303</v>
      </c>
      <c r="C23" s="135"/>
      <c r="E23" s="111">
        <v>5</v>
      </c>
      <c r="F23" s="120" t="s">
        <v>334</v>
      </c>
      <c r="G23" s="121">
        <f>C8*$C$2*E23</f>
        <v>40269</v>
      </c>
      <c r="H23" s="121">
        <f>E8*$C$2*E23</f>
        <v>77940</v>
      </c>
      <c r="I23" s="114">
        <f t="shared" si="1"/>
        <v>0.93548387096774188</v>
      </c>
      <c r="J23" s="44" t="s">
        <v>596</v>
      </c>
      <c r="K23" s="44"/>
      <c r="L23" s="44"/>
      <c r="M23" s="44"/>
      <c r="N23" s="44"/>
      <c r="O23" s="44"/>
      <c r="P23" s="44"/>
      <c r="Q23" s="44"/>
      <c r="R23" s="44"/>
      <c r="S23" s="44"/>
      <c r="T23" s="44"/>
      <c r="U23" s="44"/>
      <c r="V23" s="44"/>
      <c r="W23" s="45"/>
    </row>
    <row r="24" spans="1:23" ht="20.25" customHeight="1" x14ac:dyDescent="0.2">
      <c r="A24" s="43"/>
      <c r="B24" s="133" t="s">
        <v>607</v>
      </c>
      <c r="C24" s="135"/>
      <c r="E24" s="111">
        <v>5</v>
      </c>
      <c r="F24" s="120" t="s">
        <v>382</v>
      </c>
      <c r="G24" s="121">
        <f>$C$9*$C$2*E24</f>
        <v>116910</v>
      </c>
      <c r="H24" s="121">
        <f>(90000+257000)/2</f>
        <v>173500</v>
      </c>
      <c r="I24" s="114">
        <f t="shared" si="1"/>
        <v>0.48404755795056026</v>
      </c>
      <c r="J24" s="44"/>
      <c r="K24" s="44"/>
      <c r="L24" s="44"/>
      <c r="M24" s="44"/>
      <c r="N24" s="44"/>
      <c r="O24" s="44"/>
      <c r="P24" s="44"/>
      <c r="Q24" s="44"/>
      <c r="R24" s="44"/>
      <c r="S24" s="44"/>
      <c r="T24" s="44"/>
      <c r="U24" s="44"/>
      <c r="V24" s="44"/>
      <c r="W24" s="45"/>
    </row>
    <row r="25" spans="1:23" ht="20.25" customHeight="1" x14ac:dyDescent="0.2">
      <c r="A25" s="43"/>
      <c r="B25" s="133" t="s">
        <v>608</v>
      </c>
      <c r="C25" s="135"/>
      <c r="E25" s="111">
        <v>10</v>
      </c>
      <c r="F25" s="120" t="s">
        <v>382</v>
      </c>
      <c r="G25" s="121">
        <f>$C$9*$C$2*E25</f>
        <v>233820</v>
      </c>
      <c r="H25" s="121">
        <f>(200000+377720*(10/9))/2</f>
        <v>309844.4444444445</v>
      </c>
      <c r="I25" s="114">
        <f t="shared" si="1"/>
        <v>0.32514089660612649</v>
      </c>
      <c r="J25" s="44"/>
      <c r="K25" s="44"/>
      <c r="L25" s="44"/>
      <c r="M25" s="44"/>
      <c r="N25" s="44"/>
      <c r="O25" s="44"/>
      <c r="P25" s="44"/>
      <c r="Q25" s="44"/>
      <c r="R25" s="44"/>
      <c r="S25" s="44"/>
      <c r="T25" s="44"/>
      <c r="U25" s="44"/>
      <c r="V25" s="44"/>
      <c r="W25" s="45"/>
    </row>
    <row r="26" spans="1:23" ht="20.25" customHeight="1" x14ac:dyDescent="0.2">
      <c r="A26" s="43"/>
      <c r="B26" s="133" t="s">
        <v>619</v>
      </c>
      <c r="C26" s="135"/>
      <c r="E26" s="119">
        <v>1.2</v>
      </c>
      <c r="F26" s="120" t="s">
        <v>381</v>
      </c>
      <c r="G26" s="121">
        <f>C10*E26*$C$2</f>
        <v>59234.400000000001</v>
      </c>
      <c r="H26" s="121">
        <f>$E$10*$C$2*E26</f>
        <v>71704.800000000003</v>
      </c>
      <c r="I26" s="114">
        <f t="shared" si="1"/>
        <v>0.2105263157894737</v>
      </c>
      <c r="J26" s="44"/>
      <c r="K26" s="44"/>
      <c r="L26" s="44"/>
      <c r="M26" s="44"/>
      <c r="N26" s="44"/>
      <c r="O26" s="44"/>
      <c r="P26" s="44"/>
      <c r="Q26" s="44"/>
      <c r="R26" s="44"/>
      <c r="S26" s="44"/>
      <c r="T26" s="44"/>
      <c r="U26" s="44"/>
      <c r="V26" s="44"/>
      <c r="W26" s="45"/>
    </row>
    <row r="27" spans="1:23" ht="20.25" customHeight="1" x14ac:dyDescent="0.2">
      <c r="A27" s="43"/>
      <c r="B27" s="133" t="s">
        <v>620</v>
      </c>
      <c r="C27" s="135"/>
      <c r="E27" s="119">
        <v>4.8</v>
      </c>
      <c r="F27" s="120" t="s">
        <v>381</v>
      </c>
      <c r="G27" s="121">
        <f>C10*E27*$C$2</f>
        <v>236937.60000000001</v>
      </c>
      <c r="H27" s="121">
        <f>$E$10*$C$2*E27</f>
        <v>286819.20000000001</v>
      </c>
      <c r="I27" s="114">
        <f t="shared" si="1"/>
        <v>0.2105263157894737</v>
      </c>
      <c r="J27" s="44"/>
      <c r="K27" s="44"/>
      <c r="L27" s="44"/>
      <c r="M27" s="44"/>
      <c r="N27" s="44"/>
      <c r="O27" s="44"/>
      <c r="P27" s="44"/>
      <c r="Q27" s="44"/>
      <c r="R27" s="44"/>
      <c r="S27" s="44"/>
      <c r="T27" s="44"/>
      <c r="U27" s="44"/>
      <c r="V27" s="44"/>
      <c r="W27" s="45"/>
    </row>
    <row r="28" spans="1:23" ht="20.25" customHeight="1" x14ac:dyDescent="0.2">
      <c r="A28" s="43"/>
      <c r="B28" s="133" t="s">
        <v>621</v>
      </c>
      <c r="C28" s="135"/>
      <c r="E28" s="119">
        <v>1.2</v>
      </c>
      <c r="F28" s="120" t="s">
        <v>381</v>
      </c>
      <c r="G28" s="121">
        <f>E28*C11*C2</f>
        <v>19640.88</v>
      </c>
      <c r="H28" s="121">
        <v>15000</v>
      </c>
      <c r="I28" s="114">
        <f t="shared" si="1"/>
        <v>-0.23628676515512548</v>
      </c>
      <c r="J28" s="44"/>
      <c r="K28" s="44"/>
      <c r="L28" s="44"/>
      <c r="M28" s="44"/>
      <c r="N28" s="44"/>
      <c r="O28" s="44"/>
      <c r="P28" s="44"/>
      <c r="Q28" s="44"/>
      <c r="R28" s="44"/>
      <c r="S28" s="44"/>
      <c r="T28" s="44"/>
      <c r="U28" s="44"/>
      <c r="V28" s="44"/>
      <c r="W28" s="45"/>
    </row>
    <row r="29" spans="1:23" ht="20.25" customHeight="1" x14ac:dyDescent="0.2">
      <c r="A29" s="43"/>
      <c r="B29" s="133" t="s">
        <v>622</v>
      </c>
      <c r="C29" s="135"/>
      <c r="E29" s="119">
        <v>2.4</v>
      </c>
      <c r="F29" s="120" t="s">
        <v>381</v>
      </c>
      <c r="G29" s="121">
        <f>E29*C11*$C$2</f>
        <v>39281.760000000002</v>
      </c>
      <c r="H29" s="121">
        <v>25070</v>
      </c>
      <c r="I29" s="114">
        <f t="shared" si="1"/>
        <v>-0.36179030674796653</v>
      </c>
      <c r="K29" s="44"/>
      <c r="L29" s="44"/>
      <c r="M29" s="44"/>
      <c r="N29" s="44"/>
      <c r="O29" s="44"/>
      <c r="P29" s="44"/>
      <c r="Q29" s="44"/>
      <c r="R29" s="44"/>
      <c r="S29" s="44"/>
      <c r="T29" s="44"/>
      <c r="U29" s="44"/>
      <c r="V29" s="44"/>
      <c r="W29" s="45"/>
    </row>
    <row r="30" spans="1:23" ht="20.25" customHeight="1" x14ac:dyDescent="0.2">
      <c r="A30" s="43"/>
      <c r="B30" s="133" t="s">
        <v>623</v>
      </c>
      <c r="C30" s="135"/>
      <c r="E30" s="119">
        <v>1.2</v>
      </c>
      <c r="F30" s="120" t="s">
        <v>381</v>
      </c>
      <c r="G30" s="121">
        <f>E30*C11*$C$2</f>
        <v>19640.88</v>
      </c>
      <c r="H30" s="121">
        <f>13750*E30</f>
        <v>16500</v>
      </c>
      <c r="I30" s="114">
        <f t="shared" si="1"/>
        <v>-0.15991544167063801</v>
      </c>
      <c r="J30" s="44"/>
      <c r="K30" s="44"/>
      <c r="L30" s="44"/>
      <c r="M30" s="44"/>
      <c r="N30" s="44"/>
      <c r="O30" s="44"/>
      <c r="P30" s="44"/>
      <c r="Q30" s="44"/>
      <c r="R30" s="44"/>
      <c r="S30" s="44"/>
      <c r="T30" s="44"/>
      <c r="U30" s="44"/>
      <c r="V30" s="44"/>
      <c r="W30" s="45"/>
    </row>
    <row r="31" spans="1:23" ht="20.25" customHeight="1" x14ac:dyDescent="0.2">
      <c r="A31" s="43"/>
      <c r="B31" s="133" t="s">
        <v>624</v>
      </c>
      <c r="C31" s="135"/>
      <c r="E31" s="119">
        <v>2.4</v>
      </c>
      <c r="F31" s="120" t="s">
        <v>381</v>
      </c>
      <c r="G31" s="121">
        <f>E31*C11*$C$2</f>
        <v>39281.760000000002</v>
      </c>
      <c r="H31" s="121">
        <f>13750*E31</f>
        <v>33000</v>
      </c>
      <c r="I31" s="114">
        <f t="shared" si="1"/>
        <v>-0.15991544167063801</v>
      </c>
      <c r="J31" s="44"/>
      <c r="K31" s="44"/>
      <c r="L31" s="44"/>
      <c r="M31" s="44"/>
      <c r="N31" s="44"/>
      <c r="O31" s="44"/>
      <c r="P31" s="44"/>
      <c r="Q31" s="44"/>
      <c r="R31" s="44"/>
      <c r="S31" s="44"/>
      <c r="T31" s="44"/>
      <c r="U31" s="44"/>
      <c r="V31" s="44"/>
      <c r="W31" s="45"/>
    </row>
    <row r="32" spans="1:23" ht="20.25" customHeight="1" x14ac:dyDescent="0.2">
      <c r="A32" s="43"/>
      <c r="B32" s="133" t="s">
        <v>597</v>
      </c>
      <c r="C32" s="135"/>
      <c r="E32" s="111">
        <v>10</v>
      </c>
      <c r="F32" s="120" t="s">
        <v>382</v>
      </c>
      <c r="G32" s="121">
        <f>C12*E32*C2</f>
        <v>266295</v>
      </c>
      <c r="H32" s="121">
        <v>405000</v>
      </c>
      <c r="I32" s="114">
        <f t="shared" si="1"/>
        <v>0.52086971216132483</v>
      </c>
      <c r="J32" s="44"/>
      <c r="K32" s="44"/>
      <c r="L32" s="44"/>
      <c r="M32" s="44"/>
      <c r="N32" s="44"/>
      <c r="O32" s="44"/>
      <c r="P32" s="44"/>
      <c r="Q32" s="44"/>
      <c r="R32" s="44"/>
      <c r="S32" s="44"/>
      <c r="T32" s="44"/>
      <c r="U32" s="44"/>
      <c r="V32" s="44"/>
      <c r="W32" s="45"/>
    </row>
    <row r="33" spans="1:23" ht="20.25" customHeight="1" x14ac:dyDescent="0.2">
      <c r="A33" s="43"/>
      <c r="B33" s="133" t="s">
        <v>598</v>
      </c>
      <c r="C33" s="135"/>
      <c r="E33" s="111">
        <v>25</v>
      </c>
      <c r="F33" s="120" t="s">
        <v>382</v>
      </c>
      <c r="G33" s="121">
        <f>C12*E33*C2</f>
        <v>665737.5</v>
      </c>
      <c r="H33" s="121">
        <v>960500</v>
      </c>
      <c r="I33" s="114">
        <f t="shared" si="1"/>
        <v>0.44276084793180498</v>
      </c>
      <c r="J33" s="44"/>
      <c r="K33" s="44"/>
      <c r="L33" s="44"/>
      <c r="M33" s="44"/>
      <c r="N33" s="44"/>
      <c r="O33" s="44"/>
      <c r="P33" s="44"/>
      <c r="Q33" s="44"/>
      <c r="R33" s="44"/>
      <c r="S33" s="44"/>
      <c r="T33" s="44"/>
      <c r="U33" s="44"/>
      <c r="V33" s="44"/>
      <c r="W33" s="45"/>
    </row>
    <row r="34" spans="1:23" ht="20.25" customHeight="1" x14ac:dyDescent="0.2">
      <c r="A34" s="43"/>
      <c r="B34" s="133" t="s">
        <v>599</v>
      </c>
      <c r="C34" s="135"/>
      <c r="E34" s="111">
        <v>1</v>
      </c>
      <c r="F34" s="120" t="s">
        <v>382</v>
      </c>
      <c r="G34" s="121">
        <f>C13*$C$2</f>
        <v>31825.5</v>
      </c>
      <c r="H34" s="121">
        <f>E34*E13*C2</f>
        <v>32475</v>
      </c>
      <c r="I34" s="114">
        <f t="shared" si="1"/>
        <v>2.0408163265306121E-2</v>
      </c>
      <c r="J34" s="44" t="s">
        <v>596</v>
      </c>
      <c r="K34" s="44"/>
      <c r="L34" s="44"/>
      <c r="M34" s="44"/>
      <c r="N34" s="44"/>
      <c r="O34" s="44"/>
      <c r="P34" s="44"/>
      <c r="Q34" s="44"/>
      <c r="R34" s="44"/>
      <c r="S34" s="44"/>
      <c r="T34" s="44"/>
      <c r="U34" s="44"/>
      <c r="V34" s="44"/>
      <c r="W34" s="45"/>
    </row>
    <row r="35" spans="1:23" ht="20.25" customHeight="1" x14ac:dyDescent="0.2">
      <c r="A35" s="43"/>
      <c r="B35" s="133" t="s">
        <v>600</v>
      </c>
      <c r="C35" s="135"/>
      <c r="E35" s="111">
        <v>10</v>
      </c>
      <c r="F35" s="120" t="s">
        <v>382</v>
      </c>
      <c r="G35" s="121">
        <f>C13*$C$2*E35</f>
        <v>318255</v>
      </c>
      <c r="H35" s="121">
        <f>E35*E13*C2</f>
        <v>324750</v>
      </c>
      <c r="I35" s="114">
        <f t="shared" si="1"/>
        <v>2.0408163265306121E-2</v>
      </c>
      <c r="J35" s="44" t="s">
        <v>596</v>
      </c>
      <c r="K35" s="44"/>
      <c r="L35" s="44"/>
      <c r="M35" s="44"/>
      <c r="N35" s="44"/>
      <c r="O35" s="44"/>
      <c r="P35" s="44"/>
      <c r="Q35" s="44"/>
      <c r="R35" s="44"/>
      <c r="S35" s="44"/>
      <c r="T35" s="44"/>
      <c r="U35" s="44"/>
      <c r="V35" s="44"/>
      <c r="W35" s="45"/>
    </row>
    <row r="36" spans="1:23" ht="20.25" customHeight="1" x14ac:dyDescent="0.2">
      <c r="A36" s="43"/>
      <c r="B36" s="133" t="s">
        <v>601</v>
      </c>
      <c r="C36" s="135"/>
      <c r="E36" s="111">
        <v>1</v>
      </c>
      <c r="F36" s="120" t="s">
        <v>625</v>
      </c>
      <c r="G36" s="121">
        <f>50*130</f>
        <v>6500</v>
      </c>
      <c r="H36" s="121">
        <f>50*130</f>
        <v>6500</v>
      </c>
      <c r="I36" s="114">
        <f t="shared" si="1"/>
        <v>0</v>
      </c>
      <c r="J36" s="44" t="s">
        <v>596</v>
      </c>
      <c r="K36" s="44"/>
      <c r="L36" s="44"/>
      <c r="M36" s="44"/>
      <c r="N36" s="44"/>
      <c r="O36" s="44"/>
      <c r="P36" s="44"/>
      <c r="Q36" s="44"/>
      <c r="R36" s="44"/>
      <c r="S36" s="44"/>
      <c r="T36" s="44"/>
      <c r="U36" s="44"/>
      <c r="V36" s="44"/>
      <c r="W36" s="45"/>
    </row>
    <row r="37" spans="1:23" ht="20.25" customHeight="1" x14ac:dyDescent="0.2">
      <c r="A37" s="43"/>
      <c r="B37" s="44"/>
      <c r="C37" s="44"/>
      <c r="D37" s="44"/>
      <c r="E37" s="44"/>
      <c r="F37" s="44"/>
      <c r="G37" s="44"/>
      <c r="H37" s="44"/>
      <c r="I37" s="44"/>
      <c r="J37" s="44"/>
      <c r="K37" s="44"/>
      <c r="L37" s="44"/>
      <c r="M37" s="44"/>
      <c r="N37" s="44"/>
      <c r="O37" s="44"/>
      <c r="P37" s="44"/>
      <c r="Q37" s="44"/>
      <c r="R37" s="44"/>
      <c r="S37" s="44"/>
      <c r="T37" s="44"/>
      <c r="U37" s="44"/>
      <c r="V37" s="44"/>
      <c r="W37" s="45"/>
    </row>
    <row r="38" spans="1:23" ht="20.25" customHeight="1" x14ac:dyDescent="0.2">
      <c r="A38" s="43"/>
      <c r="B38" s="122" t="s">
        <v>299</v>
      </c>
      <c r="C38" s="123"/>
      <c r="D38" s="123"/>
      <c r="E38" s="123"/>
      <c r="F38" s="123"/>
      <c r="G38" s="123"/>
      <c r="H38" s="123"/>
      <c r="I38" s="123"/>
      <c r="J38" s="123"/>
      <c r="K38" s="123"/>
      <c r="L38" s="123"/>
      <c r="M38" s="123"/>
      <c r="N38" s="123"/>
      <c r="O38" s="44"/>
      <c r="P38" s="44"/>
      <c r="Q38" s="44"/>
      <c r="R38" s="44"/>
      <c r="S38" s="44"/>
      <c r="T38" s="44"/>
      <c r="U38" s="44"/>
      <c r="V38" s="44"/>
      <c r="W38" s="45"/>
    </row>
    <row r="39" spans="1:23" ht="20.25" customHeight="1" x14ac:dyDescent="0.2">
      <c r="A39" s="43"/>
      <c r="B39" s="44"/>
      <c r="C39" s="44"/>
      <c r="D39" s="44"/>
      <c r="E39" s="44"/>
      <c r="F39" s="44"/>
      <c r="G39" s="44"/>
      <c r="H39" s="44"/>
      <c r="I39" s="44"/>
      <c r="J39" s="44"/>
      <c r="K39" s="44"/>
      <c r="L39" s="44"/>
      <c r="M39" s="44"/>
      <c r="N39" s="44"/>
      <c r="O39" s="44"/>
      <c r="P39" s="44"/>
      <c r="Q39" s="44"/>
      <c r="R39" s="44"/>
      <c r="S39" s="44"/>
      <c r="T39" s="44"/>
      <c r="U39" s="44"/>
      <c r="V39" s="44"/>
      <c r="W39" s="45"/>
    </row>
    <row r="40" spans="1:23" ht="20.25" customHeight="1" x14ac:dyDescent="0.2">
      <c r="A40" s="43"/>
      <c r="B40" s="39" t="s">
        <v>328</v>
      </c>
      <c r="C40" s="53" t="s">
        <v>350</v>
      </c>
      <c r="E40" s="56">
        <v>10</v>
      </c>
      <c r="F40" s="56">
        <v>20</v>
      </c>
      <c r="G40" s="56">
        <v>30</v>
      </c>
      <c r="H40" s="56">
        <v>50</v>
      </c>
      <c r="I40" s="56">
        <v>55</v>
      </c>
      <c r="J40" s="56">
        <v>60</v>
      </c>
      <c r="K40" s="56">
        <v>70</v>
      </c>
      <c r="L40" s="56">
        <v>80</v>
      </c>
      <c r="M40" s="56">
        <v>90</v>
      </c>
      <c r="N40" s="56">
        <v>100</v>
      </c>
      <c r="O40" s="44"/>
      <c r="P40" s="44"/>
      <c r="Q40" s="74" t="s">
        <v>404</v>
      </c>
      <c r="R40" s="74" t="s">
        <v>332</v>
      </c>
      <c r="S40" s="74" t="s">
        <v>322</v>
      </c>
      <c r="T40" s="74" t="s">
        <v>404</v>
      </c>
      <c r="U40" s="74" t="s">
        <v>332</v>
      </c>
      <c r="V40" s="74" t="s">
        <v>322</v>
      </c>
      <c r="W40" s="45"/>
    </row>
    <row r="41" spans="1:23" ht="20.25" customHeight="1" x14ac:dyDescent="0.2">
      <c r="A41" s="43"/>
      <c r="B41" s="44"/>
      <c r="C41" s="44"/>
      <c r="D41" s="44"/>
      <c r="E41" s="44"/>
      <c r="F41" s="44"/>
      <c r="G41" s="44"/>
      <c r="H41" s="44"/>
      <c r="I41" s="44"/>
      <c r="J41" s="44"/>
      <c r="K41" s="44"/>
      <c r="L41" s="44"/>
      <c r="M41" s="44"/>
      <c r="N41" s="44"/>
      <c r="O41" s="44"/>
      <c r="P41" s="44"/>
      <c r="W41" s="45"/>
    </row>
    <row r="42" spans="1:23" ht="20.25" customHeight="1" x14ac:dyDescent="0.2">
      <c r="A42" s="43"/>
      <c r="B42" s="39" t="s">
        <v>327</v>
      </c>
      <c r="C42" s="53" t="s">
        <v>332</v>
      </c>
      <c r="E42" s="54">
        <f>E40*'Calculations &amp; Assumptions'!$C$15/1000</f>
        <v>3745.76</v>
      </c>
      <c r="F42" s="54">
        <f>F40*'Calculations &amp; Assumptions'!$C$15/1000</f>
        <v>7491.52</v>
      </c>
      <c r="G42" s="54">
        <f>G40*'Calculations &amp; Assumptions'!$C$15/1000</f>
        <v>11237.28</v>
      </c>
      <c r="H42" s="54">
        <f>H40*'Calculations &amp; Assumptions'!$C$15/1000</f>
        <v>18728.8</v>
      </c>
      <c r="I42" s="54">
        <f>I40*'Calculations &amp; Assumptions'!$C$15/1000</f>
        <v>20601.68</v>
      </c>
      <c r="J42" s="54">
        <f>J40*'Calculations &amp; Assumptions'!$C$15/1000</f>
        <v>22474.560000000001</v>
      </c>
      <c r="K42" s="54">
        <f>K40*'Calculations &amp; Assumptions'!$C$15/1000</f>
        <v>26220.32</v>
      </c>
      <c r="L42" s="54">
        <f>L40*'Calculations &amp; Assumptions'!$C$15/1000</f>
        <v>29966.080000000002</v>
      </c>
      <c r="M42" s="54">
        <f>M40*'Calculations &amp; Assumptions'!$C$15/1000</f>
        <v>33711.839999999997</v>
      </c>
      <c r="N42" s="54">
        <f>N40*'Calculations &amp; Assumptions'!$C$15/1000</f>
        <v>37457.599999999999</v>
      </c>
      <c r="O42" s="44"/>
      <c r="P42" s="44"/>
      <c r="Q42" s="73">
        <f>E40</f>
        <v>10</v>
      </c>
      <c r="R42" s="73">
        <f>E46</f>
        <v>4000</v>
      </c>
      <c r="S42" s="75">
        <f>E47</f>
        <v>30</v>
      </c>
      <c r="T42" s="73">
        <f>J40</f>
        <v>60</v>
      </c>
      <c r="U42" s="73">
        <f>J46</f>
        <v>24500</v>
      </c>
      <c r="V42" s="73">
        <f>J47</f>
        <v>190</v>
      </c>
      <c r="W42" s="45"/>
    </row>
    <row r="43" spans="1:23" ht="20.25" customHeight="1" x14ac:dyDescent="0.2">
      <c r="A43" s="43"/>
      <c r="B43" s="39" t="s">
        <v>313</v>
      </c>
      <c r="C43" s="53">
        <f>'Calculations &amp; Assumptions'!C19</f>
        <v>0.05</v>
      </c>
      <c r="E43" s="54">
        <f>$C43*E42</f>
        <v>187.28800000000001</v>
      </c>
      <c r="F43" s="54">
        <f t="shared" ref="F43:N43" si="2">$C43*F42</f>
        <v>374.57600000000002</v>
      </c>
      <c r="G43" s="54">
        <f t="shared" si="2"/>
        <v>561.86400000000003</v>
      </c>
      <c r="H43" s="54">
        <f t="shared" si="2"/>
        <v>936.44</v>
      </c>
      <c r="I43" s="54">
        <f t="shared" si="2"/>
        <v>1030.0840000000001</v>
      </c>
      <c r="J43" s="54">
        <f t="shared" si="2"/>
        <v>1123.7280000000001</v>
      </c>
      <c r="K43" s="54">
        <f t="shared" si="2"/>
        <v>1311.0160000000001</v>
      </c>
      <c r="L43" s="54">
        <f t="shared" si="2"/>
        <v>1498.3040000000001</v>
      </c>
      <c r="M43" s="54">
        <f t="shared" si="2"/>
        <v>1685.5919999999999</v>
      </c>
      <c r="N43" s="54">
        <f t="shared" si="2"/>
        <v>1872.88</v>
      </c>
      <c r="O43" s="44"/>
      <c r="P43" s="44"/>
      <c r="Q43" s="73">
        <f>F40</f>
        <v>20</v>
      </c>
      <c r="R43" s="73">
        <f>F46</f>
        <v>8000</v>
      </c>
      <c r="S43" s="75">
        <f>F47</f>
        <v>60</v>
      </c>
      <c r="T43" s="73">
        <f>K40</f>
        <v>70</v>
      </c>
      <c r="U43" s="73">
        <f>K46</f>
        <v>29000</v>
      </c>
      <c r="V43" s="73">
        <f>K47</f>
        <v>220</v>
      </c>
      <c r="W43" s="45"/>
    </row>
    <row r="44" spans="1:23" ht="20.25" customHeight="1" x14ac:dyDescent="0.2">
      <c r="A44" s="43"/>
      <c r="B44" s="39" t="s">
        <v>314</v>
      </c>
      <c r="C44" s="53">
        <f>'Calculations &amp; Assumptions'!C20</f>
        <v>0.05</v>
      </c>
      <c r="E44" s="54">
        <f>$C44*E42</f>
        <v>187.28800000000001</v>
      </c>
      <c r="F44" s="54">
        <f t="shared" ref="F44:N44" si="3">$C44*F42</f>
        <v>374.57600000000002</v>
      </c>
      <c r="G44" s="54">
        <f t="shared" si="3"/>
        <v>561.86400000000003</v>
      </c>
      <c r="H44" s="54">
        <f t="shared" si="3"/>
        <v>936.44</v>
      </c>
      <c r="I44" s="54">
        <f t="shared" si="3"/>
        <v>1030.0840000000001</v>
      </c>
      <c r="J44" s="54">
        <f t="shared" si="3"/>
        <v>1123.7280000000001</v>
      </c>
      <c r="K44" s="54">
        <f t="shared" si="3"/>
        <v>1311.0160000000001</v>
      </c>
      <c r="L44" s="54">
        <f t="shared" si="3"/>
        <v>1498.3040000000001</v>
      </c>
      <c r="M44" s="54">
        <f t="shared" si="3"/>
        <v>1685.5919999999999</v>
      </c>
      <c r="N44" s="54">
        <f t="shared" si="3"/>
        <v>1872.88</v>
      </c>
      <c r="O44" s="44"/>
      <c r="P44" s="44"/>
      <c r="Q44" s="73">
        <f>G40</f>
        <v>30</v>
      </c>
      <c r="R44" s="73">
        <f>G46</f>
        <v>12500</v>
      </c>
      <c r="S44" s="75">
        <f>G47</f>
        <v>100</v>
      </c>
      <c r="T44" s="73">
        <f>L40</f>
        <v>80</v>
      </c>
      <c r="U44" s="73">
        <f>L46</f>
        <v>33000</v>
      </c>
      <c r="V44" s="73">
        <f>L47</f>
        <v>250</v>
      </c>
      <c r="W44" s="45"/>
    </row>
    <row r="45" spans="1:23" ht="20.25" customHeight="1" x14ac:dyDescent="0.2">
      <c r="A45" s="43"/>
      <c r="B45" s="39" t="s">
        <v>326</v>
      </c>
      <c r="C45" s="53">
        <f>'Calculations &amp; Assumptions'!C21</f>
        <v>0</v>
      </c>
      <c r="E45" s="54">
        <f>$C45*E42</f>
        <v>0</v>
      </c>
      <c r="F45" s="54">
        <f t="shared" ref="F45:N45" si="4">$C45*F42</f>
        <v>0</v>
      </c>
      <c r="G45" s="54">
        <f t="shared" si="4"/>
        <v>0</v>
      </c>
      <c r="H45" s="54">
        <f t="shared" si="4"/>
        <v>0</v>
      </c>
      <c r="I45" s="54">
        <f t="shared" si="4"/>
        <v>0</v>
      </c>
      <c r="J45" s="54">
        <f t="shared" si="4"/>
        <v>0</v>
      </c>
      <c r="K45" s="54">
        <f t="shared" si="4"/>
        <v>0</v>
      </c>
      <c r="L45" s="54">
        <f t="shared" si="4"/>
        <v>0</v>
      </c>
      <c r="M45" s="54">
        <f t="shared" si="4"/>
        <v>0</v>
      </c>
      <c r="N45" s="54">
        <f t="shared" si="4"/>
        <v>0</v>
      </c>
      <c r="O45" s="44"/>
      <c r="P45" s="44"/>
      <c r="Q45" s="73">
        <f>H40</f>
        <v>50</v>
      </c>
      <c r="R45" s="73">
        <f>H46</f>
        <v>20500</v>
      </c>
      <c r="S45" s="75">
        <f>H47</f>
        <v>160</v>
      </c>
      <c r="T45" s="73">
        <f>M40</f>
        <v>90</v>
      </c>
      <c r="U45" s="73">
        <f>M46</f>
        <v>37000</v>
      </c>
      <c r="V45" s="73">
        <f>M47</f>
        <v>280</v>
      </c>
      <c r="W45" s="45"/>
    </row>
    <row r="46" spans="1:23" ht="20.25" customHeight="1" x14ac:dyDescent="0.2">
      <c r="A46" s="43"/>
      <c r="B46" s="39" t="s">
        <v>331</v>
      </c>
      <c r="C46" s="53" t="s">
        <v>332</v>
      </c>
      <c r="E46" s="55">
        <f>MROUND(SUM(E42:E45),500)</f>
        <v>4000</v>
      </c>
      <c r="F46" s="55">
        <f t="shared" ref="F46:N46" si="5">MROUND(SUM(F42:F45),500)</f>
        <v>8000</v>
      </c>
      <c r="G46" s="55">
        <f t="shared" si="5"/>
        <v>12500</v>
      </c>
      <c r="H46" s="55">
        <f t="shared" si="5"/>
        <v>20500</v>
      </c>
      <c r="I46" s="55">
        <f t="shared" si="5"/>
        <v>22500</v>
      </c>
      <c r="J46" s="55">
        <f t="shared" si="5"/>
        <v>24500</v>
      </c>
      <c r="K46" s="55">
        <f t="shared" si="5"/>
        <v>29000</v>
      </c>
      <c r="L46" s="55">
        <f t="shared" si="5"/>
        <v>33000</v>
      </c>
      <c r="M46" s="55">
        <f t="shared" si="5"/>
        <v>37000</v>
      </c>
      <c r="N46" s="55">
        <f t="shared" si="5"/>
        <v>41000</v>
      </c>
      <c r="O46" s="44"/>
      <c r="P46" s="44"/>
      <c r="Q46" s="73">
        <f>I40</f>
        <v>55</v>
      </c>
      <c r="R46" s="73">
        <f>I46</f>
        <v>22500</v>
      </c>
      <c r="S46" s="75">
        <f>H47</f>
        <v>160</v>
      </c>
      <c r="T46" s="73">
        <f>N40</f>
        <v>100</v>
      </c>
      <c r="U46" s="73">
        <f>N46</f>
        <v>41000</v>
      </c>
      <c r="V46" s="73">
        <f>N47</f>
        <v>320</v>
      </c>
      <c r="W46" s="45"/>
    </row>
    <row r="47" spans="1:23" ht="20.25" customHeight="1" x14ac:dyDescent="0.2">
      <c r="A47" s="43"/>
      <c r="B47" s="39" t="s">
        <v>331</v>
      </c>
      <c r="C47" s="53" t="s">
        <v>322</v>
      </c>
      <c r="E47" s="55">
        <f>MROUND(E46/$C$2,10)</f>
        <v>30</v>
      </c>
      <c r="F47" s="55">
        <f t="shared" ref="F47:N47" si="6">MROUND(F46/$C$2,10)</f>
        <v>60</v>
      </c>
      <c r="G47" s="55">
        <f t="shared" si="6"/>
        <v>100</v>
      </c>
      <c r="H47" s="55">
        <f t="shared" si="6"/>
        <v>160</v>
      </c>
      <c r="I47" s="55">
        <f t="shared" si="6"/>
        <v>170</v>
      </c>
      <c r="J47" s="55">
        <f t="shared" si="6"/>
        <v>190</v>
      </c>
      <c r="K47" s="55">
        <f t="shared" si="6"/>
        <v>220</v>
      </c>
      <c r="L47" s="55">
        <f t="shared" si="6"/>
        <v>250</v>
      </c>
      <c r="M47" s="55">
        <f t="shared" si="6"/>
        <v>280</v>
      </c>
      <c r="N47" s="55">
        <f t="shared" si="6"/>
        <v>320</v>
      </c>
      <c r="O47" s="44"/>
      <c r="P47" s="44"/>
      <c r="Q47" s="44"/>
      <c r="R47" s="44"/>
      <c r="S47" s="44"/>
      <c r="T47" s="44"/>
      <c r="U47" s="44"/>
      <c r="V47" s="44"/>
      <c r="W47" s="45"/>
    </row>
    <row r="48" spans="1:23" ht="20.25" customHeight="1" x14ac:dyDescent="0.2">
      <c r="A48" s="43"/>
      <c r="O48" s="44"/>
      <c r="P48" s="44"/>
      <c r="Q48" s="44"/>
      <c r="R48" s="44"/>
      <c r="S48" s="44"/>
      <c r="T48" s="44"/>
      <c r="U48" s="44"/>
      <c r="V48" s="44"/>
      <c r="W48" s="45"/>
    </row>
    <row r="49" spans="1:23" ht="20.25" customHeight="1" x14ac:dyDescent="0.2">
      <c r="A49" s="43"/>
      <c r="O49" s="44"/>
      <c r="P49" s="44"/>
      <c r="Q49" s="44"/>
      <c r="R49" s="44"/>
      <c r="S49" s="44"/>
      <c r="T49" s="44"/>
      <c r="U49" s="44"/>
      <c r="V49" s="44"/>
      <c r="W49" s="45"/>
    </row>
    <row r="50" spans="1:23" ht="20.25" customHeight="1" x14ac:dyDescent="0.2">
      <c r="A50" s="43"/>
      <c r="O50" s="44"/>
      <c r="P50" s="44"/>
      <c r="Q50" s="44"/>
      <c r="R50" s="44"/>
      <c r="S50" s="44"/>
      <c r="T50" s="44"/>
      <c r="U50" s="44"/>
      <c r="V50" s="44"/>
      <c r="W50" s="45"/>
    </row>
    <row r="51" spans="1:23" ht="20.25" customHeight="1" x14ac:dyDescent="0.2">
      <c r="A51" s="43"/>
      <c r="O51" s="44"/>
      <c r="P51" s="44"/>
      <c r="Q51" s="44"/>
      <c r="R51" s="44"/>
      <c r="S51" s="44"/>
      <c r="T51" s="44"/>
      <c r="U51" s="44"/>
      <c r="V51" s="44"/>
      <c r="W51" s="45"/>
    </row>
    <row r="52" spans="1:23" ht="20.25" customHeight="1" x14ac:dyDescent="0.2">
      <c r="A52" s="43"/>
      <c r="O52" s="44"/>
      <c r="P52" s="44"/>
      <c r="Q52" s="44"/>
      <c r="R52" s="44"/>
      <c r="S52" s="44"/>
      <c r="T52" s="44"/>
      <c r="U52" s="44"/>
      <c r="V52" s="44"/>
      <c r="W52" s="45"/>
    </row>
    <row r="53" spans="1:23" ht="20.25" customHeight="1" x14ac:dyDescent="0.2">
      <c r="A53" s="43"/>
      <c r="O53" s="44"/>
      <c r="P53" s="44"/>
      <c r="Q53" s="44"/>
      <c r="R53" s="44"/>
      <c r="S53" s="44"/>
      <c r="T53" s="44"/>
      <c r="U53" s="44"/>
      <c r="V53" s="44"/>
      <c r="W53" s="45"/>
    </row>
    <row r="54" spans="1:23" ht="20.25" customHeight="1" x14ac:dyDescent="0.2">
      <c r="A54" s="43"/>
      <c r="O54" s="44"/>
      <c r="P54" s="44"/>
      <c r="Q54" s="44"/>
      <c r="R54" s="44"/>
      <c r="S54" s="44"/>
      <c r="T54" s="44"/>
      <c r="U54" s="44"/>
      <c r="V54" s="44"/>
      <c r="W54" s="45"/>
    </row>
    <row r="55" spans="1:23" ht="20.25" customHeight="1" x14ac:dyDescent="0.2">
      <c r="A55" s="43"/>
      <c r="O55" s="44"/>
      <c r="P55" s="44"/>
      <c r="Q55" s="44"/>
      <c r="R55" s="44"/>
      <c r="S55" s="44"/>
      <c r="T55" s="44"/>
      <c r="U55" s="44"/>
      <c r="V55" s="44"/>
      <c r="W55" s="45"/>
    </row>
    <row r="56" spans="1:23" ht="20.25" customHeight="1" x14ac:dyDescent="0.2">
      <c r="A56" s="43"/>
      <c r="O56" s="44"/>
      <c r="P56" s="44"/>
      <c r="Q56" s="44"/>
      <c r="R56" s="44"/>
      <c r="S56" s="44"/>
      <c r="T56" s="44"/>
      <c r="U56" s="44"/>
      <c r="V56" s="44"/>
      <c r="W56" s="45"/>
    </row>
    <row r="57" spans="1:23" ht="20.25" customHeight="1" x14ac:dyDescent="0.2">
      <c r="A57" s="43"/>
      <c r="O57" s="44"/>
      <c r="P57" s="44"/>
      <c r="Q57" s="44"/>
      <c r="R57" s="44"/>
      <c r="S57" s="44"/>
      <c r="T57" s="44"/>
      <c r="U57" s="44"/>
      <c r="V57" s="44"/>
      <c r="W57" s="45"/>
    </row>
    <row r="58" spans="1:23" ht="20.25" customHeight="1" x14ac:dyDescent="0.2">
      <c r="A58" s="43"/>
      <c r="O58" s="44"/>
      <c r="P58" s="44"/>
      <c r="Q58" s="44"/>
      <c r="R58" s="44"/>
      <c r="S58" s="44"/>
      <c r="T58" s="44"/>
      <c r="U58" s="44"/>
      <c r="V58" s="44"/>
      <c r="W58" s="45"/>
    </row>
    <row r="59" spans="1:23" ht="20.25" customHeight="1" x14ac:dyDescent="0.2">
      <c r="A59" s="43"/>
      <c r="O59" s="44"/>
      <c r="P59" s="44"/>
      <c r="Q59" s="44"/>
      <c r="R59" s="44"/>
      <c r="S59" s="44"/>
      <c r="T59" s="44"/>
      <c r="U59" s="44"/>
      <c r="V59" s="44"/>
      <c r="W59" s="45"/>
    </row>
    <row r="60" spans="1:23" ht="20.25" customHeight="1" x14ac:dyDescent="0.2">
      <c r="A60" s="43"/>
      <c r="O60" s="44"/>
      <c r="P60" s="44"/>
      <c r="Q60" s="44"/>
      <c r="R60" s="44"/>
      <c r="S60" s="44"/>
      <c r="T60" s="44"/>
      <c r="U60" s="44"/>
      <c r="V60" s="44"/>
      <c r="W60" s="45"/>
    </row>
    <row r="61" spans="1:23" ht="20.25" customHeight="1" x14ac:dyDescent="0.2">
      <c r="A61" s="43"/>
      <c r="B61" s="43"/>
      <c r="C61" s="44"/>
      <c r="D61" s="44"/>
      <c r="E61" s="44"/>
      <c r="F61" s="44"/>
      <c r="G61" s="44"/>
      <c r="H61" s="44"/>
      <c r="I61" s="44"/>
      <c r="J61" s="44"/>
      <c r="K61" s="44"/>
      <c r="L61" s="44"/>
      <c r="M61" s="44"/>
      <c r="N61" s="44"/>
      <c r="O61" s="44"/>
      <c r="P61" s="44"/>
      <c r="Q61" s="44"/>
      <c r="R61" s="44"/>
      <c r="S61" s="44"/>
      <c r="T61" s="44"/>
      <c r="U61" s="44"/>
      <c r="V61" s="44"/>
      <c r="W61" s="45"/>
    </row>
    <row r="62" spans="1:23" ht="20.25" customHeight="1" x14ac:dyDescent="0.2">
      <c r="B62" s="122" t="s">
        <v>298</v>
      </c>
      <c r="C62" s="123"/>
      <c r="D62" s="123"/>
      <c r="E62" s="123"/>
      <c r="F62" s="123"/>
      <c r="G62" s="123"/>
      <c r="H62" s="123"/>
      <c r="I62" s="123"/>
      <c r="J62" s="123"/>
      <c r="K62" s="123"/>
      <c r="L62" s="123"/>
      <c r="M62" s="123"/>
      <c r="N62" s="123"/>
      <c r="O62" s="44"/>
      <c r="P62" s="44"/>
      <c r="Q62" s="44"/>
      <c r="R62" s="44"/>
      <c r="S62" s="44"/>
      <c r="T62" s="44"/>
      <c r="U62" s="44"/>
      <c r="V62" s="44"/>
      <c r="W62" s="45"/>
    </row>
    <row r="63" spans="1:23" ht="20.25" customHeight="1" x14ac:dyDescent="0.2">
      <c r="O63" s="44"/>
      <c r="P63" s="44"/>
      <c r="Q63" s="44"/>
      <c r="R63" s="44"/>
      <c r="S63" s="44"/>
      <c r="T63" s="44"/>
      <c r="U63" s="44"/>
      <c r="V63" s="44"/>
      <c r="W63" s="45"/>
    </row>
    <row r="64" spans="1:23" ht="20.25" customHeight="1" x14ac:dyDescent="0.2">
      <c r="B64" s="39" t="s">
        <v>328</v>
      </c>
      <c r="C64" s="53" t="s">
        <v>334</v>
      </c>
      <c r="E64" s="56">
        <v>1</v>
      </c>
      <c r="F64" s="56">
        <v>2</v>
      </c>
      <c r="G64" s="56">
        <v>3</v>
      </c>
      <c r="H64" s="56">
        <v>4</v>
      </c>
      <c r="I64" s="56">
        <v>5</v>
      </c>
      <c r="J64" s="56">
        <v>6</v>
      </c>
      <c r="K64" s="56">
        <v>7</v>
      </c>
      <c r="L64" s="56">
        <v>8</v>
      </c>
      <c r="M64" s="56">
        <v>9</v>
      </c>
      <c r="N64" s="56">
        <v>10</v>
      </c>
      <c r="O64" s="44"/>
      <c r="P64" s="44"/>
      <c r="Q64" s="74" t="s">
        <v>406</v>
      </c>
      <c r="R64" s="74" t="s">
        <v>332</v>
      </c>
      <c r="S64" s="74" t="s">
        <v>322</v>
      </c>
      <c r="T64" s="74" t="s">
        <v>404</v>
      </c>
      <c r="U64" s="74" t="s">
        <v>332</v>
      </c>
      <c r="V64" s="74" t="s">
        <v>322</v>
      </c>
      <c r="W64" s="45"/>
    </row>
    <row r="65" spans="2:23" ht="20.25" customHeight="1" x14ac:dyDescent="0.2">
      <c r="O65" s="44"/>
      <c r="P65" s="44"/>
      <c r="Q65" s="44"/>
      <c r="R65" s="44"/>
      <c r="S65" s="44"/>
      <c r="T65" s="44"/>
      <c r="U65" s="44"/>
      <c r="V65" s="44"/>
      <c r="W65" s="45"/>
    </row>
    <row r="66" spans="2:23" ht="20.25" customHeight="1" x14ac:dyDescent="0.2">
      <c r="E66" s="133" t="s">
        <v>336</v>
      </c>
      <c r="F66" s="134"/>
      <c r="G66" s="134"/>
      <c r="H66" s="134"/>
      <c r="I66" s="134"/>
      <c r="J66" s="134"/>
      <c r="K66" s="134"/>
      <c r="L66" s="134"/>
      <c r="M66" s="134"/>
      <c r="N66" s="135"/>
      <c r="O66" s="44"/>
      <c r="P66" s="44"/>
      <c r="Q66" s="44"/>
      <c r="R66" s="44"/>
      <c r="S66" s="44"/>
      <c r="T66" s="44"/>
      <c r="U66" s="44"/>
      <c r="V66" s="44"/>
      <c r="W66" s="45"/>
    </row>
    <row r="67" spans="2:23" ht="20.25" customHeight="1" x14ac:dyDescent="0.2">
      <c r="B67" s="39" t="s">
        <v>327</v>
      </c>
      <c r="C67" s="53" t="s">
        <v>332</v>
      </c>
      <c r="E67" s="54">
        <f>E64*'Calculations &amp; Assumptions'!$C$29</f>
        <v>72826</v>
      </c>
      <c r="F67" s="54">
        <f>F64*'Calculations &amp; Assumptions'!$C$29</f>
        <v>145652</v>
      </c>
      <c r="G67" s="54">
        <f>G64*'Calculations &amp; Assumptions'!$C$29</f>
        <v>218478</v>
      </c>
      <c r="H67" s="54">
        <f>H64*'Calculations &amp; Assumptions'!$C$29</f>
        <v>291304</v>
      </c>
      <c r="I67" s="54">
        <f>I64*'Calculations &amp; Assumptions'!$C$29</f>
        <v>364130</v>
      </c>
      <c r="J67" s="54">
        <f>J64*'Calculations &amp; Assumptions'!$C$29</f>
        <v>436956</v>
      </c>
      <c r="K67" s="54">
        <f>K64*'Calculations &amp; Assumptions'!$C$29</f>
        <v>509782</v>
      </c>
      <c r="L67" s="54">
        <f>L64*'Calculations &amp; Assumptions'!$C$29</f>
        <v>582608</v>
      </c>
      <c r="M67" s="54">
        <f>M64*'Calculations &amp; Assumptions'!$C$29</f>
        <v>655434</v>
      </c>
      <c r="N67" s="54">
        <f>N64*'Calculations &amp; Assumptions'!$C$29</f>
        <v>728260</v>
      </c>
      <c r="Q67" s="73">
        <f>E64</f>
        <v>1</v>
      </c>
      <c r="R67" s="73">
        <f>E71</f>
        <v>85000</v>
      </c>
      <c r="S67" s="75">
        <f>E72</f>
        <v>650</v>
      </c>
      <c r="T67" s="73">
        <f>J64</f>
        <v>6</v>
      </c>
      <c r="U67" s="73">
        <f>J71</f>
        <v>511000</v>
      </c>
      <c r="V67" s="73">
        <f>J72</f>
        <v>3950</v>
      </c>
    </row>
    <row r="68" spans="2:23" ht="20.25" customHeight="1" x14ac:dyDescent="0.2">
      <c r="B68" s="39" t="s">
        <v>313</v>
      </c>
      <c r="C68" s="53">
        <v>0.05</v>
      </c>
      <c r="E68" s="54">
        <f>$C68*E67</f>
        <v>3641.3</v>
      </c>
      <c r="F68" s="54">
        <f t="shared" ref="F68:N68" si="7">$C68*F67</f>
        <v>7282.6</v>
      </c>
      <c r="G68" s="54">
        <f t="shared" si="7"/>
        <v>10923.900000000001</v>
      </c>
      <c r="H68" s="54">
        <f t="shared" si="7"/>
        <v>14565.2</v>
      </c>
      <c r="I68" s="54">
        <f t="shared" si="7"/>
        <v>18206.5</v>
      </c>
      <c r="J68" s="54">
        <f t="shared" si="7"/>
        <v>21847.800000000003</v>
      </c>
      <c r="K68" s="54">
        <f t="shared" si="7"/>
        <v>25489.100000000002</v>
      </c>
      <c r="L68" s="54">
        <f t="shared" si="7"/>
        <v>29130.400000000001</v>
      </c>
      <c r="M68" s="54">
        <f t="shared" si="7"/>
        <v>32771.700000000004</v>
      </c>
      <c r="N68" s="54">
        <f t="shared" si="7"/>
        <v>36413</v>
      </c>
      <c r="Q68" s="73">
        <f>F64</f>
        <v>2</v>
      </c>
      <c r="R68" s="73">
        <f>F71</f>
        <v>170000</v>
      </c>
      <c r="S68" s="75">
        <f>F72</f>
        <v>1300</v>
      </c>
      <c r="T68" s="73">
        <f>K64</f>
        <v>7</v>
      </c>
      <c r="U68" s="73">
        <f>K71</f>
        <v>596000</v>
      </c>
      <c r="V68" s="73">
        <f>K72</f>
        <v>4600</v>
      </c>
    </row>
    <row r="69" spans="2:23" ht="20.25" customHeight="1" x14ac:dyDescent="0.2">
      <c r="B69" s="39" t="s">
        <v>314</v>
      </c>
      <c r="C69" s="53">
        <v>0.1</v>
      </c>
      <c r="E69" s="54">
        <f>$C69*E67</f>
        <v>7282.6</v>
      </c>
      <c r="F69" s="54">
        <f t="shared" ref="F69:N69" si="8">$C69*F67</f>
        <v>14565.2</v>
      </c>
      <c r="G69" s="54">
        <f t="shared" si="8"/>
        <v>21847.800000000003</v>
      </c>
      <c r="H69" s="54">
        <f t="shared" si="8"/>
        <v>29130.400000000001</v>
      </c>
      <c r="I69" s="54">
        <f t="shared" si="8"/>
        <v>36413</v>
      </c>
      <c r="J69" s="54">
        <f t="shared" si="8"/>
        <v>43695.600000000006</v>
      </c>
      <c r="K69" s="54">
        <f t="shared" si="8"/>
        <v>50978.200000000004</v>
      </c>
      <c r="L69" s="54">
        <f t="shared" si="8"/>
        <v>58260.800000000003</v>
      </c>
      <c r="M69" s="54">
        <f t="shared" si="8"/>
        <v>65543.400000000009</v>
      </c>
      <c r="N69" s="54">
        <f t="shared" si="8"/>
        <v>72826</v>
      </c>
      <c r="Q69" s="73">
        <f>G64</f>
        <v>3</v>
      </c>
      <c r="R69" s="73">
        <f>G71</f>
        <v>256000</v>
      </c>
      <c r="S69" s="75">
        <f>G72</f>
        <v>1950</v>
      </c>
      <c r="T69" s="73">
        <f>L64</f>
        <v>8</v>
      </c>
      <c r="U69" s="73">
        <f>L71</f>
        <v>682000</v>
      </c>
      <c r="V69" s="73">
        <f>L72</f>
        <v>5250</v>
      </c>
    </row>
    <row r="70" spans="2:23" ht="20.25" customHeight="1" x14ac:dyDescent="0.2">
      <c r="B70" s="39" t="s">
        <v>326</v>
      </c>
      <c r="C70" s="53">
        <v>0.02</v>
      </c>
      <c r="E70" s="54">
        <f>$C70*E67</f>
        <v>1456.52</v>
      </c>
      <c r="F70" s="54">
        <f t="shared" ref="F70:N70" si="9">$C70*F67</f>
        <v>2913.04</v>
      </c>
      <c r="G70" s="54">
        <f t="shared" si="9"/>
        <v>4369.5600000000004</v>
      </c>
      <c r="H70" s="54">
        <f t="shared" si="9"/>
        <v>5826.08</v>
      </c>
      <c r="I70" s="54">
        <f t="shared" si="9"/>
        <v>7282.6</v>
      </c>
      <c r="J70" s="54">
        <f t="shared" si="9"/>
        <v>8739.1200000000008</v>
      </c>
      <c r="K70" s="54">
        <f t="shared" si="9"/>
        <v>10195.64</v>
      </c>
      <c r="L70" s="54">
        <f t="shared" si="9"/>
        <v>11652.16</v>
      </c>
      <c r="M70" s="54">
        <f t="shared" si="9"/>
        <v>13108.68</v>
      </c>
      <c r="N70" s="54">
        <f t="shared" si="9"/>
        <v>14565.2</v>
      </c>
      <c r="Q70" s="73">
        <f>H64</f>
        <v>4</v>
      </c>
      <c r="R70" s="73">
        <f>H71</f>
        <v>341000</v>
      </c>
      <c r="S70" s="75">
        <f>H72</f>
        <v>2650</v>
      </c>
      <c r="T70" s="73">
        <f>M64</f>
        <v>9</v>
      </c>
      <c r="U70" s="73">
        <f>M71</f>
        <v>767000</v>
      </c>
      <c r="V70" s="73">
        <f>M72</f>
        <v>5900</v>
      </c>
    </row>
    <row r="71" spans="2:23" ht="20.25" customHeight="1" x14ac:dyDescent="0.2">
      <c r="B71" s="39" t="s">
        <v>331</v>
      </c>
      <c r="C71" s="53" t="s">
        <v>332</v>
      </c>
      <c r="E71" s="55">
        <f>MROUND(SUM(E67:E70),1000)</f>
        <v>85000</v>
      </c>
      <c r="F71" s="55">
        <f t="shared" ref="F71:N71" si="10">MROUND(SUM(F67:F70),1000)</f>
        <v>170000</v>
      </c>
      <c r="G71" s="55">
        <f t="shared" si="10"/>
        <v>256000</v>
      </c>
      <c r="H71" s="55">
        <f t="shared" si="10"/>
        <v>341000</v>
      </c>
      <c r="I71" s="55">
        <f t="shared" si="10"/>
        <v>426000</v>
      </c>
      <c r="J71" s="55">
        <f t="shared" si="10"/>
        <v>511000</v>
      </c>
      <c r="K71" s="55">
        <f t="shared" si="10"/>
        <v>596000</v>
      </c>
      <c r="L71" s="55">
        <f t="shared" si="10"/>
        <v>682000</v>
      </c>
      <c r="M71" s="55">
        <f t="shared" si="10"/>
        <v>767000</v>
      </c>
      <c r="N71" s="55">
        <f t="shared" si="10"/>
        <v>852000</v>
      </c>
      <c r="Q71" s="73">
        <f>I64</f>
        <v>5</v>
      </c>
      <c r="R71" s="73">
        <f>I71</f>
        <v>426000</v>
      </c>
      <c r="S71" s="75">
        <f>H72</f>
        <v>2650</v>
      </c>
      <c r="T71" s="73">
        <f>N64</f>
        <v>10</v>
      </c>
      <c r="U71" s="73">
        <f>N71</f>
        <v>852000</v>
      </c>
      <c r="V71" s="73">
        <f>N72</f>
        <v>6550</v>
      </c>
    </row>
    <row r="72" spans="2:23" ht="20.25" customHeight="1" x14ac:dyDescent="0.2">
      <c r="B72" s="39" t="s">
        <v>331</v>
      </c>
      <c r="C72" s="53" t="s">
        <v>322</v>
      </c>
      <c r="E72" s="55">
        <f>MROUND(E71/$C$2,50)</f>
        <v>650</v>
      </c>
      <c r="F72" s="55">
        <f t="shared" ref="F72:N72" si="11">MROUND(F71/$C$2,50)</f>
        <v>1300</v>
      </c>
      <c r="G72" s="55">
        <f t="shared" si="11"/>
        <v>1950</v>
      </c>
      <c r="H72" s="55">
        <f t="shared" si="11"/>
        <v>2650</v>
      </c>
      <c r="I72" s="55">
        <f t="shared" si="11"/>
        <v>3300</v>
      </c>
      <c r="J72" s="55">
        <f t="shared" si="11"/>
        <v>3950</v>
      </c>
      <c r="K72" s="55">
        <f t="shared" si="11"/>
        <v>4600</v>
      </c>
      <c r="L72" s="55">
        <f t="shared" si="11"/>
        <v>5250</v>
      </c>
      <c r="M72" s="55">
        <f t="shared" si="11"/>
        <v>5900</v>
      </c>
      <c r="N72" s="55">
        <f t="shared" si="11"/>
        <v>6550</v>
      </c>
    </row>
    <row r="73" spans="2:23" ht="20.25" customHeight="1" x14ac:dyDescent="0.2"/>
    <row r="74" spans="2:23" ht="20.25" customHeight="1" x14ac:dyDescent="0.2">
      <c r="E74" s="133" t="s">
        <v>337</v>
      </c>
      <c r="F74" s="134"/>
      <c r="G74" s="134"/>
      <c r="H74" s="134"/>
      <c r="I74" s="134"/>
      <c r="J74" s="134"/>
      <c r="K74" s="134"/>
      <c r="L74" s="134"/>
      <c r="M74" s="134"/>
      <c r="N74" s="135"/>
    </row>
    <row r="75" spans="2:23" ht="20.25" customHeight="1" x14ac:dyDescent="0.2">
      <c r="B75" s="39" t="s">
        <v>327</v>
      </c>
      <c r="C75" s="53" t="s">
        <v>332</v>
      </c>
      <c r="E75" s="54">
        <f>E64*'Calculations &amp; Assumptions'!$C$30</f>
        <v>116207</v>
      </c>
      <c r="F75" s="54">
        <f>F64*'Calculations &amp; Assumptions'!$C$30</f>
        <v>232414</v>
      </c>
      <c r="G75" s="54">
        <f>G64*'Calculations &amp; Assumptions'!$C$30</f>
        <v>348621</v>
      </c>
      <c r="H75" s="54">
        <f>H64*'Calculations &amp; Assumptions'!$C$30</f>
        <v>464828</v>
      </c>
      <c r="I75" s="54">
        <f>I64*'Calculations &amp; Assumptions'!$C$30</f>
        <v>581035</v>
      </c>
      <c r="J75" s="54">
        <f>J64*'Calculations &amp; Assumptions'!$C$30</f>
        <v>697242</v>
      </c>
      <c r="K75" s="54">
        <f>K64*'Calculations &amp; Assumptions'!$C$30</f>
        <v>813449</v>
      </c>
      <c r="L75" s="54">
        <f>L64*'Calculations &amp; Assumptions'!$C$30</f>
        <v>929656</v>
      </c>
      <c r="M75" s="54">
        <f>M64*'Calculations &amp; Assumptions'!$C$30</f>
        <v>1045863</v>
      </c>
      <c r="N75" s="54">
        <f>N64*'Calculations &amp; Assumptions'!$C$30</f>
        <v>1162070</v>
      </c>
      <c r="Q75" s="73">
        <f>E64</f>
        <v>1</v>
      </c>
      <c r="R75" s="73">
        <f>E79</f>
        <v>136000</v>
      </c>
      <c r="S75" s="75">
        <f>E80</f>
        <v>1050</v>
      </c>
      <c r="T75" s="73">
        <f>J64</f>
        <v>6</v>
      </c>
      <c r="U75" s="73">
        <f>J79</f>
        <v>816000</v>
      </c>
      <c r="V75" s="73">
        <f>J80</f>
        <v>6300</v>
      </c>
    </row>
    <row r="76" spans="2:23" ht="20.25" customHeight="1" x14ac:dyDescent="0.2">
      <c r="B76" s="39" t="s">
        <v>313</v>
      </c>
      <c r="C76" s="53">
        <f>C68</f>
        <v>0.05</v>
      </c>
      <c r="E76" s="54">
        <f>$C76*E75</f>
        <v>5810.35</v>
      </c>
      <c r="F76" s="54">
        <f t="shared" ref="F76:N76" si="12">$C76*F75</f>
        <v>11620.7</v>
      </c>
      <c r="G76" s="54">
        <f t="shared" si="12"/>
        <v>17431.05</v>
      </c>
      <c r="H76" s="54">
        <f t="shared" si="12"/>
        <v>23241.4</v>
      </c>
      <c r="I76" s="54">
        <f t="shared" si="12"/>
        <v>29051.75</v>
      </c>
      <c r="J76" s="54">
        <f t="shared" si="12"/>
        <v>34862.1</v>
      </c>
      <c r="K76" s="54">
        <f t="shared" si="12"/>
        <v>40672.450000000004</v>
      </c>
      <c r="L76" s="54">
        <f t="shared" si="12"/>
        <v>46482.8</v>
      </c>
      <c r="M76" s="54">
        <f t="shared" si="12"/>
        <v>52293.15</v>
      </c>
      <c r="N76" s="54">
        <f t="shared" si="12"/>
        <v>58103.5</v>
      </c>
      <c r="Q76" s="73">
        <f>F64</f>
        <v>2</v>
      </c>
      <c r="R76" s="73">
        <f>F79</f>
        <v>272000</v>
      </c>
      <c r="S76" s="75">
        <f>F80</f>
        <v>2100</v>
      </c>
      <c r="T76" s="73">
        <f>K64</f>
        <v>7</v>
      </c>
      <c r="U76" s="73">
        <f>K79</f>
        <v>952000</v>
      </c>
      <c r="V76" s="73">
        <f>K80</f>
        <v>7350</v>
      </c>
    </row>
    <row r="77" spans="2:23" ht="20.25" customHeight="1" x14ac:dyDescent="0.2">
      <c r="B77" s="39" t="s">
        <v>314</v>
      </c>
      <c r="C77" s="53">
        <f t="shared" ref="C77:C78" si="13">C69</f>
        <v>0.1</v>
      </c>
      <c r="E77" s="54">
        <f>$C77*E75</f>
        <v>11620.7</v>
      </c>
      <c r="F77" s="54">
        <f t="shared" ref="F77:N77" si="14">$C77*F75</f>
        <v>23241.4</v>
      </c>
      <c r="G77" s="54">
        <f t="shared" si="14"/>
        <v>34862.1</v>
      </c>
      <c r="H77" s="54">
        <f t="shared" si="14"/>
        <v>46482.8</v>
      </c>
      <c r="I77" s="54">
        <f t="shared" si="14"/>
        <v>58103.5</v>
      </c>
      <c r="J77" s="54">
        <f t="shared" si="14"/>
        <v>69724.2</v>
      </c>
      <c r="K77" s="54">
        <f t="shared" si="14"/>
        <v>81344.900000000009</v>
      </c>
      <c r="L77" s="54">
        <f t="shared" si="14"/>
        <v>92965.6</v>
      </c>
      <c r="M77" s="54">
        <f t="shared" si="14"/>
        <v>104586.3</v>
      </c>
      <c r="N77" s="54">
        <f t="shared" si="14"/>
        <v>116207</v>
      </c>
      <c r="Q77" s="73">
        <f>G64</f>
        <v>3</v>
      </c>
      <c r="R77" s="73">
        <f>G79</f>
        <v>408000</v>
      </c>
      <c r="S77" s="75">
        <f>G80</f>
        <v>3150</v>
      </c>
      <c r="T77" s="73">
        <f>L64</f>
        <v>8</v>
      </c>
      <c r="U77" s="73">
        <f>L79</f>
        <v>1088000</v>
      </c>
      <c r="V77" s="73">
        <f>L80</f>
        <v>8400</v>
      </c>
    </row>
    <row r="78" spans="2:23" ht="20.25" customHeight="1" x14ac:dyDescent="0.2">
      <c r="B78" s="39" t="s">
        <v>326</v>
      </c>
      <c r="C78" s="53">
        <f t="shared" si="13"/>
        <v>0.02</v>
      </c>
      <c r="E78" s="54">
        <f>$C78*E75</f>
        <v>2324.14</v>
      </c>
      <c r="F78" s="54">
        <f t="shared" ref="F78:N78" si="15">$C78*F75</f>
        <v>4648.28</v>
      </c>
      <c r="G78" s="54">
        <f t="shared" si="15"/>
        <v>6972.42</v>
      </c>
      <c r="H78" s="54">
        <f t="shared" si="15"/>
        <v>9296.56</v>
      </c>
      <c r="I78" s="54">
        <f t="shared" si="15"/>
        <v>11620.7</v>
      </c>
      <c r="J78" s="54">
        <f t="shared" si="15"/>
        <v>13944.84</v>
      </c>
      <c r="K78" s="54">
        <f t="shared" si="15"/>
        <v>16268.98</v>
      </c>
      <c r="L78" s="54">
        <f t="shared" si="15"/>
        <v>18593.12</v>
      </c>
      <c r="M78" s="54">
        <f t="shared" si="15"/>
        <v>20917.260000000002</v>
      </c>
      <c r="N78" s="54">
        <f t="shared" si="15"/>
        <v>23241.4</v>
      </c>
      <c r="Q78" s="73">
        <f>H64</f>
        <v>4</v>
      </c>
      <c r="R78" s="73">
        <f>H79</f>
        <v>544000</v>
      </c>
      <c r="S78" s="75">
        <f>H80</f>
        <v>4200</v>
      </c>
      <c r="T78" s="73">
        <f>M64</f>
        <v>9</v>
      </c>
      <c r="U78" s="73">
        <f>M79</f>
        <v>1224000</v>
      </c>
      <c r="V78" s="73">
        <f>M80</f>
        <v>9400</v>
      </c>
    </row>
    <row r="79" spans="2:23" ht="20.25" customHeight="1" x14ac:dyDescent="0.2">
      <c r="B79" s="39" t="s">
        <v>331</v>
      </c>
      <c r="C79" s="53" t="s">
        <v>332</v>
      </c>
      <c r="E79" s="55">
        <f>MROUND(SUM(E75:E78),1000)</f>
        <v>136000</v>
      </c>
      <c r="F79" s="55">
        <f t="shared" ref="F79:N79" si="16">MROUND(SUM(F75:F78),1000)</f>
        <v>272000</v>
      </c>
      <c r="G79" s="55">
        <f t="shared" si="16"/>
        <v>408000</v>
      </c>
      <c r="H79" s="55">
        <f t="shared" si="16"/>
        <v>544000</v>
      </c>
      <c r="I79" s="55">
        <f t="shared" si="16"/>
        <v>680000</v>
      </c>
      <c r="J79" s="55">
        <f t="shared" si="16"/>
        <v>816000</v>
      </c>
      <c r="K79" s="55">
        <f t="shared" si="16"/>
        <v>952000</v>
      </c>
      <c r="L79" s="55">
        <f t="shared" si="16"/>
        <v>1088000</v>
      </c>
      <c r="M79" s="55">
        <f t="shared" si="16"/>
        <v>1224000</v>
      </c>
      <c r="N79" s="55">
        <f t="shared" si="16"/>
        <v>1360000</v>
      </c>
      <c r="Q79" s="73">
        <f>I64</f>
        <v>5</v>
      </c>
      <c r="R79" s="73">
        <f>I79</f>
        <v>680000</v>
      </c>
      <c r="S79" s="75">
        <f>H80</f>
        <v>4200</v>
      </c>
      <c r="T79" s="73">
        <f>N64</f>
        <v>10</v>
      </c>
      <c r="U79" s="73">
        <f>N79</f>
        <v>1360000</v>
      </c>
      <c r="V79" s="73">
        <f>N80</f>
        <v>10450</v>
      </c>
    </row>
    <row r="80" spans="2:23" ht="20.25" customHeight="1" x14ac:dyDescent="0.2">
      <c r="B80" s="39" t="s">
        <v>331</v>
      </c>
      <c r="C80" s="53" t="s">
        <v>322</v>
      </c>
      <c r="E80" s="55">
        <f>MROUND(E79/$C$2,50)</f>
        <v>1050</v>
      </c>
      <c r="F80" s="55">
        <f t="shared" ref="F80:N80" si="17">MROUND(F79/$C$2,50)</f>
        <v>2100</v>
      </c>
      <c r="G80" s="55">
        <f t="shared" si="17"/>
        <v>3150</v>
      </c>
      <c r="H80" s="55">
        <f t="shared" si="17"/>
        <v>4200</v>
      </c>
      <c r="I80" s="55">
        <f t="shared" si="17"/>
        <v>5250</v>
      </c>
      <c r="J80" s="55">
        <f t="shared" si="17"/>
        <v>6300</v>
      </c>
      <c r="K80" s="55">
        <f t="shared" si="17"/>
        <v>7350</v>
      </c>
      <c r="L80" s="55">
        <f t="shared" si="17"/>
        <v>8400</v>
      </c>
      <c r="M80" s="55">
        <f t="shared" si="17"/>
        <v>9400</v>
      </c>
      <c r="N80" s="55">
        <f t="shared" si="17"/>
        <v>10450</v>
      </c>
    </row>
    <row r="81" spans="1:23" ht="20.25" customHeight="1" x14ac:dyDescent="0.2"/>
    <row r="82" spans="1:23" ht="20.25" customHeight="1" x14ac:dyDescent="0.2"/>
    <row r="83" spans="1:23" ht="20.25" customHeight="1" x14ac:dyDescent="0.2"/>
    <row r="84" spans="1:23" ht="20.25" customHeight="1" x14ac:dyDescent="0.2"/>
    <row r="85" spans="1:23" ht="20.25" customHeight="1" x14ac:dyDescent="0.2"/>
    <row r="86" spans="1:23" ht="20.25" customHeight="1" x14ac:dyDescent="0.2"/>
    <row r="87" spans="1:23" ht="20.25" customHeight="1" x14ac:dyDescent="0.2"/>
    <row r="88" spans="1:23" ht="20.25" customHeight="1" x14ac:dyDescent="0.2"/>
    <row r="89" spans="1:23" ht="20.25" customHeight="1" x14ac:dyDescent="0.2"/>
    <row r="90" spans="1:23" ht="20.25" customHeight="1" x14ac:dyDescent="0.2"/>
    <row r="91" spans="1:23" ht="20.25" customHeight="1" x14ac:dyDescent="0.2"/>
    <row r="92" spans="1:23" ht="20.25" customHeight="1" x14ac:dyDescent="0.2"/>
    <row r="93" spans="1:23" ht="20.25" customHeight="1" x14ac:dyDescent="0.2"/>
    <row r="94" spans="1:23" ht="20.25" customHeight="1" x14ac:dyDescent="0.2">
      <c r="A94" s="43"/>
      <c r="O94" s="44"/>
      <c r="P94" s="44"/>
      <c r="Q94" s="44"/>
      <c r="R94" s="44"/>
      <c r="S94" s="44"/>
      <c r="T94" s="44"/>
      <c r="U94" s="44"/>
      <c r="V94" s="44"/>
      <c r="W94" s="45"/>
    </row>
    <row r="95" spans="1:23" ht="20.25" customHeight="1" x14ac:dyDescent="0.2">
      <c r="B95" s="122" t="s">
        <v>363</v>
      </c>
      <c r="C95" s="123"/>
      <c r="D95" s="123"/>
      <c r="E95" s="123"/>
      <c r="F95" s="123"/>
      <c r="G95" s="123"/>
      <c r="H95" s="123"/>
      <c r="I95" s="123"/>
      <c r="J95" s="123"/>
      <c r="K95" s="123"/>
      <c r="L95" s="123"/>
      <c r="M95" s="123"/>
      <c r="N95" s="123"/>
      <c r="O95" s="44"/>
      <c r="P95" s="44"/>
      <c r="Q95" s="74" t="s">
        <v>406</v>
      </c>
      <c r="R95" s="74" t="s">
        <v>332</v>
      </c>
      <c r="S95" s="74" t="s">
        <v>322</v>
      </c>
      <c r="T95" s="74" t="s">
        <v>404</v>
      </c>
      <c r="U95" s="74" t="s">
        <v>332</v>
      </c>
      <c r="V95" s="74" t="s">
        <v>322</v>
      </c>
      <c r="W95" s="45"/>
    </row>
    <row r="96" spans="1:23" ht="20.25" customHeight="1" x14ac:dyDescent="0.2">
      <c r="A96" s="43"/>
      <c r="O96" s="44"/>
      <c r="P96" s="44"/>
      <c r="R96" s="44"/>
      <c r="S96" s="44"/>
      <c r="T96" s="44"/>
      <c r="U96" s="44"/>
      <c r="V96" s="44"/>
      <c r="W96" s="45"/>
    </row>
    <row r="97" spans="1:23" ht="20.25" customHeight="1" x14ac:dyDescent="0.2">
      <c r="A97" s="43"/>
      <c r="B97" s="39" t="s">
        <v>328</v>
      </c>
      <c r="C97" s="53" t="s">
        <v>334</v>
      </c>
      <c r="E97" s="56">
        <v>10</v>
      </c>
      <c r="F97" s="56">
        <v>20</v>
      </c>
      <c r="G97" s="56">
        <v>30</v>
      </c>
      <c r="H97" s="56">
        <v>60</v>
      </c>
      <c r="I97" s="56">
        <v>100</v>
      </c>
      <c r="J97" s="56">
        <v>125</v>
      </c>
      <c r="K97" s="56">
        <v>150</v>
      </c>
      <c r="L97" s="56">
        <v>200</v>
      </c>
      <c r="M97" s="56">
        <v>250</v>
      </c>
      <c r="N97" s="56">
        <v>300</v>
      </c>
      <c r="O97" s="44"/>
      <c r="P97" s="44"/>
      <c r="Q97" s="44"/>
      <c r="R97" s="44"/>
      <c r="S97" s="44"/>
      <c r="T97" s="44"/>
      <c r="U97" s="44"/>
      <c r="V97" s="44"/>
      <c r="W97" s="45"/>
    </row>
    <row r="98" spans="1:23" ht="20.25" customHeight="1" x14ac:dyDescent="0.2">
      <c r="A98" s="43"/>
      <c r="B98" s="44"/>
      <c r="C98" s="44"/>
      <c r="D98" s="44"/>
      <c r="E98" s="44"/>
      <c r="F98" s="44"/>
      <c r="G98" s="44"/>
      <c r="H98" s="44"/>
      <c r="I98" s="44"/>
      <c r="J98" s="44"/>
      <c r="K98" s="44"/>
      <c r="L98" s="44"/>
      <c r="M98" s="44"/>
      <c r="N98" s="44"/>
      <c r="O98" s="44"/>
      <c r="P98" s="44"/>
      <c r="Q98" s="44"/>
      <c r="R98" s="44"/>
      <c r="S98" s="44"/>
      <c r="T98" s="44"/>
      <c r="U98" s="44"/>
      <c r="V98" s="44"/>
      <c r="W98" s="45"/>
    </row>
    <row r="99" spans="1:23" ht="20.25" customHeight="1" x14ac:dyDescent="0.2">
      <c r="A99" s="43"/>
      <c r="B99" s="39" t="s">
        <v>327</v>
      </c>
      <c r="C99" s="53" t="s">
        <v>332</v>
      </c>
      <c r="E99" s="54">
        <f>E97*IF(E97&lt;100,'Calculations &amp; Assumptions'!$C$45,'Calculations &amp; Assumptions'!$C$46)</f>
        <v>689440</v>
      </c>
      <c r="F99" s="54">
        <f>F97*IF(F97&lt;100,'Calculations &amp; Assumptions'!$C$45,'Calculations &amp; Assumptions'!$C$46)</f>
        <v>1378880</v>
      </c>
      <c r="G99" s="54">
        <f>G97*IF(G97&lt;100,'Calculations &amp; Assumptions'!$C$45,'Calculations &amp; Assumptions'!$C$46)</f>
        <v>2068320</v>
      </c>
      <c r="H99" s="54">
        <f>H97*IF(H97&lt;100,'Calculations &amp; Assumptions'!$C$45,'Calculations &amp; Assumptions'!$C$46)</f>
        <v>4136640</v>
      </c>
      <c r="I99" s="54">
        <f>I97*IF(I97&lt;100,'Calculations &amp; Assumptions'!$C$45,'Calculations &amp; Assumptions'!$C$46)</f>
        <v>5753600</v>
      </c>
      <c r="J99" s="54">
        <f>J97*IF(J97&lt;100,'Calculations &amp; Assumptions'!$C$45,'Calculations &amp; Assumptions'!$C$46)</f>
        <v>7192000</v>
      </c>
      <c r="K99" s="54">
        <f>K97*IF(K97&lt;100,'Calculations &amp; Assumptions'!$C$45,'Calculations &amp; Assumptions'!$C$46)</f>
        <v>8630400</v>
      </c>
      <c r="L99" s="54">
        <f>L97*IF(L97&lt;100,'Calculations &amp; Assumptions'!$C$45,'Calculations &amp; Assumptions'!$C$46)</f>
        <v>11507200</v>
      </c>
      <c r="M99" s="54">
        <f>M97*IF(M97&lt;100,'Calculations &amp; Assumptions'!$C$45,'Calculations &amp; Assumptions'!$C$46)</f>
        <v>14384000</v>
      </c>
      <c r="N99" s="54">
        <f>N97*IF(N97&lt;100,'Calculations &amp; Assumptions'!$C$45,'Calculations &amp; Assumptions'!$C$46)</f>
        <v>17260800</v>
      </c>
      <c r="O99" s="44"/>
      <c r="P99" s="44"/>
      <c r="Q99" s="73">
        <f>E97</f>
        <v>10</v>
      </c>
      <c r="R99" s="73">
        <f>E103</f>
        <v>807000</v>
      </c>
      <c r="S99" s="75">
        <f>E104</f>
        <v>6200</v>
      </c>
      <c r="T99" s="73">
        <f>J97</f>
        <v>125</v>
      </c>
      <c r="U99" s="73">
        <f>J103</f>
        <v>8415000</v>
      </c>
      <c r="V99" s="73">
        <f>J104</f>
        <v>64800</v>
      </c>
      <c r="W99" s="45"/>
    </row>
    <row r="100" spans="1:23" ht="20.25" customHeight="1" x14ac:dyDescent="0.2">
      <c r="A100" s="43"/>
      <c r="B100" s="39" t="s">
        <v>313</v>
      </c>
      <c r="C100" s="53">
        <f>'Calculations &amp; Assumptions'!C50</f>
        <v>0.05</v>
      </c>
      <c r="E100" s="54">
        <f t="shared" ref="E100:N100" si="18">$C100*E99</f>
        <v>34472</v>
      </c>
      <c r="F100" s="54">
        <f t="shared" si="18"/>
        <v>68944</v>
      </c>
      <c r="G100" s="54">
        <f t="shared" si="18"/>
        <v>103416</v>
      </c>
      <c r="H100" s="54">
        <f t="shared" si="18"/>
        <v>206832</v>
      </c>
      <c r="I100" s="54">
        <f t="shared" si="18"/>
        <v>287680</v>
      </c>
      <c r="J100" s="54">
        <f t="shared" si="18"/>
        <v>359600</v>
      </c>
      <c r="K100" s="54">
        <f t="shared" si="18"/>
        <v>431520</v>
      </c>
      <c r="L100" s="54">
        <f t="shared" si="18"/>
        <v>575360</v>
      </c>
      <c r="M100" s="54">
        <f t="shared" si="18"/>
        <v>719200</v>
      </c>
      <c r="N100" s="54">
        <f t="shared" si="18"/>
        <v>863040</v>
      </c>
      <c r="O100" s="44"/>
      <c r="P100" s="44"/>
      <c r="Q100" s="73">
        <f>F97</f>
        <v>20</v>
      </c>
      <c r="R100" s="73">
        <f>F103</f>
        <v>1613000</v>
      </c>
      <c r="S100" s="75">
        <f>F104</f>
        <v>12400</v>
      </c>
      <c r="T100" s="73">
        <f>K97</f>
        <v>150</v>
      </c>
      <c r="U100" s="73">
        <f>K103</f>
        <v>10098000</v>
      </c>
      <c r="V100" s="73">
        <f>K104</f>
        <v>77750</v>
      </c>
      <c r="W100" s="45"/>
    </row>
    <row r="101" spans="1:23" ht="20.25" customHeight="1" x14ac:dyDescent="0.2">
      <c r="A101" s="43"/>
      <c r="B101" s="39" t="s">
        <v>314</v>
      </c>
      <c r="C101" s="53">
        <f>'Calculations &amp; Assumptions'!C51</f>
        <v>0.1</v>
      </c>
      <c r="E101" s="54">
        <f t="shared" ref="E101:N101" si="19">$C101*E99</f>
        <v>68944</v>
      </c>
      <c r="F101" s="54">
        <f t="shared" si="19"/>
        <v>137888</v>
      </c>
      <c r="G101" s="54">
        <f t="shared" si="19"/>
        <v>206832</v>
      </c>
      <c r="H101" s="54">
        <f t="shared" si="19"/>
        <v>413664</v>
      </c>
      <c r="I101" s="54">
        <f t="shared" si="19"/>
        <v>575360</v>
      </c>
      <c r="J101" s="54">
        <f t="shared" si="19"/>
        <v>719200</v>
      </c>
      <c r="K101" s="54">
        <f t="shared" si="19"/>
        <v>863040</v>
      </c>
      <c r="L101" s="54">
        <f t="shared" si="19"/>
        <v>1150720</v>
      </c>
      <c r="M101" s="54">
        <f t="shared" si="19"/>
        <v>1438400</v>
      </c>
      <c r="N101" s="54">
        <f t="shared" si="19"/>
        <v>1726080</v>
      </c>
      <c r="O101" s="44"/>
      <c r="P101" s="44"/>
      <c r="Q101" s="73">
        <f>G97</f>
        <v>30</v>
      </c>
      <c r="R101" s="73">
        <f>G103</f>
        <v>2420000</v>
      </c>
      <c r="S101" s="75">
        <f>G104</f>
        <v>18650</v>
      </c>
      <c r="T101" s="73">
        <f>L97</f>
        <v>200</v>
      </c>
      <c r="U101" s="73">
        <f>L103</f>
        <v>13463000</v>
      </c>
      <c r="V101" s="73">
        <f>L104</f>
        <v>103650</v>
      </c>
      <c r="W101" s="45"/>
    </row>
    <row r="102" spans="1:23" ht="20.25" customHeight="1" x14ac:dyDescent="0.2">
      <c r="A102" s="43"/>
      <c r="B102" s="39" t="s">
        <v>326</v>
      </c>
      <c r="C102" s="53">
        <f>'Calculations &amp; Assumptions'!C52</f>
        <v>0.02</v>
      </c>
      <c r="E102" s="54">
        <f t="shared" ref="E102:N102" si="20">$C102*E99</f>
        <v>13788.800000000001</v>
      </c>
      <c r="F102" s="54">
        <f t="shared" si="20"/>
        <v>27577.600000000002</v>
      </c>
      <c r="G102" s="54">
        <f t="shared" si="20"/>
        <v>41366.400000000001</v>
      </c>
      <c r="H102" s="54">
        <f t="shared" si="20"/>
        <v>82732.800000000003</v>
      </c>
      <c r="I102" s="54">
        <f t="shared" si="20"/>
        <v>115072</v>
      </c>
      <c r="J102" s="54">
        <f t="shared" si="20"/>
        <v>143840</v>
      </c>
      <c r="K102" s="54">
        <f t="shared" si="20"/>
        <v>172608</v>
      </c>
      <c r="L102" s="54">
        <f t="shared" si="20"/>
        <v>230144</v>
      </c>
      <c r="M102" s="54">
        <f t="shared" si="20"/>
        <v>287680</v>
      </c>
      <c r="N102" s="54">
        <f t="shared" si="20"/>
        <v>345216</v>
      </c>
      <c r="O102" s="44"/>
      <c r="P102" s="44"/>
      <c r="Q102" s="73">
        <f>H97</f>
        <v>60</v>
      </c>
      <c r="R102" s="73">
        <f>H103</f>
        <v>4840000</v>
      </c>
      <c r="S102" s="75">
        <f>H104</f>
        <v>37250</v>
      </c>
      <c r="T102" s="73">
        <f>M97</f>
        <v>250</v>
      </c>
      <c r="U102" s="73">
        <f>M103</f>
        <v>16829000</v>
      </c>
      <c r="V102" s="73">
        <f>M104</f>
        <v>129550</v>
      </c>
      <c r="W102" s="45"/>
    </row>
    <row r="103" spans="1:23" ht="20.25" customHeight="1" x14ac:dyDescent="0.2">
      <c r="A103" s="43"/>
      <c r="B103" s="39" t="s">
        <v>331</v>
      </c>
      <c r="C103" s="53" t="s">
        <v>332</v>
      </c>
      <c r="E103" s="55">
        <f>MROUND(SUM(E99:E102),1000)</f>
        <v>807000</v>
      </c>
      <c r="F103" s="55">
        <f t="shared" ref="F103:N103" si="21">MROUND(SUM(F99:F102),1000)</f>
        <v>1613000</v>
      </c>
      <c r="G103" s="55">
        <f t="shared" si="21"/>
        <v>2420000</v>
      </c>
      <c r="H103" s="55">
        <f t="shared" si="21"/>
        <v>4840000</v>
      </c>
      <c r="I103" s="55">
        <f t="shared" si="21"/>
        <v>6732000</v>
      </c>
      <c r="J103" s="55">
        <f t="shared" si="21"/>
        <v>8415000</v>
      </c>
      <c r="K103" s="55">
        <f t="shared" si="21"/>
        <v>10098000</v>
      </c>
      <c r="L103" s="55">
        <f t="shared" si="21"/>
        <v>13463000</v>
      </c>
      <c r="M103" s="55">
        <f t="shared" si="21"/>
        <v>16829000</v>
      </c>
      <c r="N103" s="55">
        <f t="shared" si="21"/>
        <v>20195000</v>
      </c>
      <c r="O103" s="44"/>
      <c r="P103" s="44"/>
      <c r="Q103" s="73">
        <f>I97</f>
        <v>100</v>
      </c>
      <c r="R103" s="73">
        <f>I103</f>
        <v>6732000</v>
      </c>
      <c r="S103" s="75">
        <f>H104</f>
        <v>37250</v>
      </c>
      <c r="T103" s="73">
        <f>N97</f>
        <v>300</v>
      </c>
      <c r="U103" s="73">
        <f>N103</f>
        <v>20195000</v>
      </c>
      <c r="V103" s="73">
        <f>N104</f>
        <v>155450</v>
      </c>
      <c r="W103" s="45"/>
    </row>
    <row r="104" spans="1:23" ht="20.25" customHeight="1" x14ac:dyDescent="0.2">
      <c r="A104" s="43"/>
      <c r="B104" s="39" t="s">
        <v>331</v>
      </c>
      <c r="C104" s="53" t="s">
        <v>322</v>
      </c>
      <c r="E104" s="55">
        <f>MROUND(E103/$C$2,50)</f>
        <v>6200</v>
      </c>
      <c r="F104" s="55">
        <f t="shared" ref="F104:N104" si="22">MROUND(F103/$C$2,50)</f>
        <v>12400</v>
      </c>
      <c r="G104" s="55">
        <f t="shared" si="22"/>
        <v>18650</v>
      </c>
      <c r="H104" s="55">
        <f t="shared" si="22"/>
        <v>37250</v>
      </c>
      <c r="I104" s="55">
        <f t="shared" si="22"/>
        <v>51800</v>
      </c>
      <c r="J104" s="55">
        <f t="shared" si="22"/>
        <v>64800</v>
      </c>
      <c r="K104" s="55">
        <f t="shared" si="22"/>
        <v>77750</v>
      </c>
      <c r="L104" s="55">
        <f t="shared" si="22"/>
        <v>103650</v>
      </c>
      <c r="M104" s="55">
        <f t="shared" si="22"/>
        <v>129550</v>
      </c>
      <c r="N104" s="55">
        <f t="shared" si="22"/>
        <v>155450</v>
      </c>
      <c r="O104" s="44"/>
      <c r="P104" s="44"/>
      <c r="Q104" s="44"/>
      <c r="R104" s="44"/>
      <c r="S104" s="44"/>
      <c r="T104" s="44"/>
      <c r="U104" s="44"/>
      <c r="V104" s="44"/>
      <c r="W104" s="45"/>
    </row>
    <row r="105" spans="1:23" ht="20.25" customHeight="1" x14ac:dyDescent="0.2">
      <c r="A105" s="43"/>
      <c r="O105" s="44"/>
      <c r="P105" s="44"/>
      <c r="Q105" s="44"/>
      <c r="R105" s="44"/>
      <c r="S105" s="44"/>
      <c r="T105" s="44"/>
      <c r="U105" s="44"/>
      <c r="V105" s="44"/>
      <c r="W105" s="45"/>
    </row>
    <row r="106" spans="1:23" ht="20.25" customHeight="1" x14ac:dyDescent="0.2">
      <c r="A106" s="43"/>
      <c r="O106" s="44"/>
      <c r="P106" s="44"/>
      <c r="Q106" s="44"/>
      <c r="R106" s="44"/>
      <c r="S106" s="44"/>
      <c r="T106" s="44"/>
      <c r="U106" s="44"/>
      <c r="V106" s="44"/>
      <c r="W106" s="45"/>
    </row>
    <row r="107" spans="1:23" ht="20.25" customHeight="1" x14ac:dyDescent="0.2">
      <c r="A107" s="43"/>
      <c r="O107" s="44"/>
      <c r="P107" s="44"/>
      <c r="Q107" s="44"/>
      <c r="R107" s="44"/>
      <c r="S107" s="44"/>
      <c r="T107" s="44"/>
      <c r="U107" s="44"/>
      <c r="V107" s="44"/>
      <c r="W107" s="45"/>
    </row>
    <row r="108" spans="1:23" ht="20.25" customHeight="1" x14ac:dyDescent="0.2">
      <c r="A108" s="43"/>
      <c r="O108" s="44"/>
      <c r="P108" s="44"/>
      <c r="Q108" s="44"/>
      <c r="R108" s="44"/>
      <c r="S108" s="44"/>
      <c r="T108" s="44"/>
      <c r="U108" s="44"/>
      <c r="V108" s="44"/>
      <c r="W108" s="45"/>
    </row>
    <row r="109" spans="1:23" ht="20.25" customHeight="1" x14ac:dyDescent="0.2">
      <c r="A109" s="43"/>
      <c r="O109" s="44"/>
      <c r="P109" s="44"/>
      <c r="Q109" s="44"/>
      <c r="R109" s="44"/>
      <c r="S109" s="44"/>
      <c r="T109" s="44"/>
      <c r="U109" s="44"/>
      <c r="V109" s="44"/>
      <c r="W109" s="45"/>
    </row>
    <row r="110" spans="1:23" ht="20.25" customHeight="1" x14ac:dyDescent="0.2">
      <c r="A110" s="43"/>
      <c r="O110" s="44"/>
      <c r="P110" s="44"/>
      <c r="Q110" s="44"/>
      <c r="R110" s="44"/>
      <c r="S110" s="44"/>
      <c r="T110" s="44"/>
      <c r="U110" s="44"/>
      <c r="V110" s="44"/>
      <c r="W110" s="45"/>
    </row>
    <row r="111" spans="1:23" ht="20.25" customHeight="1" x14ac:dyDescent="0.2">
      <c r="A111" s="43"/>
      <c r="O111" s="44"/>
      <c r="P111" s="44"/>
      <c r="Q111" s="44"/>
      <c r="R111" s="44"/>
      <c r="S111" s="44"/>
      <c r="T111" s="44"/>
      <c r="U111" s="44"/>
      <c r="V111" s="44"/>
      <c r="W111" s="45"/>
    </row>
    <row r="112" spans="1:23" ht="20.25" customHeight="1" x14ac:dyDescent="0.2">
      <c r="A112" s="43"/>
      <c r="O112" s="44"/>
      <c r="P112" s="44"/>
      <c r="Q112" s="44"/>
      <c r="R112" s="44"/>
      <c r="S112" s="44"/>
      <c r="T112" s="44"/>
      <c r="U112" s="44"/>
      <c r="V112" s="44"/>
      <c r="W112" s="45"/>
    </row>
    <row r="113" spans="1:23" ht="20.25" customHeight="1" x14ac:dyDescent="0.2">
      <c r="A113" s="43"/>
      <c r="O113" s="44"/>
      <c r="P113" s="44"/>
      <c r="Q113" s="44"/>
      <c r="R113" s="44"/>
      <c r="S113" s="44"/>
      <c r="T113" s="44"/>
      <c r="U113" s="44"/>
      <c r="V113" s="44"/>
      <c r="W113" s="45"/>
    </row>
    <row r="114" spans="1:23" ht="20.25" customHeight="1" x14ac:dyDescent="0.2">
      <c r="A114" s="43"/>
      <c r="O114" s="44"/>
      <c r="P114" s="44"/>
      <c r="Q114" s="44"/>
      <c r="R114" s="44"/>
      <c r="S114" s="44"/>
      <c r="T114" s="44"/>
      <c r="U114" s="44"/>
      <c r="V114" s="44"/>
      <c r="W114" s="45"/>
    </row>
    <row r="115" spans="1:23" ht="20.25" customHeight="1" x14ac:dyDescent="0.2">
      <c r="A115" s="43"/>
      <c r="O115" s="44"/>
      <c r="P115" s="44"/>
      <c r="Q115" s="44"/>
      <c r="R115" s="44"/>
      <c r="S115" s="44"/>
      <c r="T115" s="44"/>
      <c r="U115" s="44"/>
      <c r="V115" s="44"/>
      <c r="W115" s="45"/>
    </row>
    <row r="116" spans="1:23" ht="20.25" customHeight="1" x14ac:dyDescent="0.2">
      <c r="A116" s="43"/>
      <c r="O116" s="44"/>
      <c r="P116" s="44"/>
      <c r="Q116" s="44"/>
      <c r="R116" s="44"/>
      <c r="S116" s="44"/>
      <c r="T116" s="44"/>
      <c r="U116" s="44"/>
      <c r="V116" s="44"/>
      <c r="W116" s="45"/>
    </row>
    <row r="117" spans="1:23" ht="20.25" customHeight="1" x14ac:dyDescent="0.2"/>
    <row r="118" spans="1:23" ht="20.25" customHeight="1" x14ac:dyDescent="0.2">
      <c r="B118" s="43"/>
      <c r="C118" s="44"/>
      <c r="D118" s="44"/>
      <c r="E118" s="44"/>
      <c r="F118" s="44"/>
      <c r="G118" s="44"/>
      <c r="H118" s="44"/>
      <c r="I118" s="44"/>
      <c r="J118" s="44"/>
      <c r="K118" s="44"/>
      <c r="L118" s="44"/>
      <c r="M118" s="44"/>
      <c r="N118" s="44"/>
    </row>
    <row r="119" spans="1:23" ht="20.25" customHeight="1" x14ac:dyDescent="0.2">
      <c r="B119" s="122" t="s">
        <v>375</v>
      </c>
      <c r="C119" s="123"/>
      <c r="D119" s="123"/>
      <c r="E119" s="123"/>
      <c r="F119" s="123"/>
      <c r="G119" s="123"/>
      <c r="H119" s="123"/>
      <c r="I119" s="123"/>
      <c r="J119" s="123"/>
      <c r="K119" s="123"/>
      <c r="L119" s="123"/>
      <c r="M119" s="123"/>
      <c r="N119" s="123"/>
      <c r="Q119" s="74" t="s">
        <v>406</v>
      </c>
      <c r="R119" s="74" t="s">
        <v>332</v>
      </c>
      <c r="S119" s="74" t="s">
        <v>322</v>
      </c>
      <c r="T119" s="74" t="s">
        <v>404</v>
      </c>
      <c r="U119" s="74" t="s">
        <v>332</v>
      </c>
      <c r="V119" s="74" t="s">
        <v>322</v>
      </c>
    </row>
    <row r="120" spans="1:23" ht="20.25" customHeight="1" x14ac:dyDescent="0.2"/>
    <row r="121" spans="1:23" ht="20.25" customHeight="1" x14ac:dyDescent="0.2">
      <c r="B121" s="39" t="s">
        <v>328</v>
      </c>
      <c r="C121" s="53" t="s">
        <v>334</v>
      </c>
      <c r="E121" s="56">
        <v>1</v>
      </c>
      <c r="F121" s="56">
        <v>30</v>
      </c>
      <c r="G121" s="56">
        <v>30</v>
      </c>
      <c r="H121" s="56">
        <v>30</v>
      </c>
      <c r="I121" s="56">
        <v>100</v>
      </c>
      <c r="J121" s="56">
        <v>100</v>
      </c>
      <c r="K121" s="56">
        <v>100</v>
      </c>
      <c r="L121" s="56">
        <v>300</v>
      </c>
      <c r="M121" s="56">
        <v>300</v>
      </c>
      <c r="N121" s="56">
        <v>300</v>
      </c>
      <c r="Q121" s="73" t="str">
        <f>F122</f>
        <v>Low</v>
      </c>
      <c r="R121" s="73">
        <f>F135</f>
        <v>15625000</v>
      </c>
      <c r="S121" s="75">
        <f>F136</f>
        <v>120300</v>
      </c>
      <c r="T121" s="73" t="str">
        <f>L122</f>
        <v>Low</v>
      </c>
      <c r="U121" s="73">
        <f>L135</f>
        <v>103053000</v>
      </c>
      <c r="V121" s="73">
        <f>L136</f>
        <v>793350</v>
      </c>
    </row>
    <row r="122" spans="1:23" ht="20.25" customHeight="1" x14ac:dyDescent="0.2">
      <c r="B122" s="39" t="s">
        <v>354</v>
      </c>
      <c r="C122" s="53" t="s">
        <v>355</v>
      </c>
      <c r="E122" s="59" t="s">
        <v>360</v>
      </c>
      <c r="F122" s="59" t="s">
        <v>358</v>
      </c>
      <c r="G122" s="59" t="s">
        <v>359</v>
      </c>
      <c r="H122" s="59" t="s">
        <v>360</v>
      </c>
      <c r="I122" s="59" t="s">
        <v>358</v>
      </c>
      <c r="J122" s="59" t="s">
        <v>359</v>
      </c>
      <c r="K122" s="59" t="s">
        <v>360</v>
      </c>
      <c r="L122" s="59" t="s">
        <v>358</v>
      </c>
      <c r="M122" s="59" t="s">
        <v>359</v>
      </c>
      <c r="N122" s="59" t="s">
        <v>360</v>
      </c>
      <c r="Q122" s="73" t="str">
        <f>G122</f>
        <v>Medium</v>
      </c>
      <c r="R122" s="73">
        <f>G135</f>
        <v>16180000</v>
      </c>
      <c r="S122" s="75">
        <f>G136</f>
        <v>124550</v>
      </c>
      <c r="T122" s="73" t="str">
        <f>M122</f>
        <v>Medium</v>
      </c>
      <c r="U122" s="73">
        <f>M135</f>
        <v>108608000</v>
      </c>
      <c r="V122" s="73">
        <f>M136</f>
        <v>836100</v>
      </c>
    </row>
    <row r="123" spans="1:23" ht="20.25" customHeight="1" x14ac:dyDescent="0.2">
      <c r="B123" s="39" t="s">
        <v>346</v>
      </c>
      <c r="C123" s="53" t="s">
        <v>342</v>
      </c>
      <c r="E123" s="56">
        <v>1</v>
      </c>
      <c r="F123" s="56">
        <v>200</v>
      </c>
      <c r="G123" s="56">
        <v>200</v>
      </c>
      <c r="H123" s="56">
        <v>200</v>
      </c>
      <c r="I123" s="56">
        <v>600</v>
      </c>
      <c r="J123" s="56">
        <v>600</v>
      </c>
      <c r="K123" s="56">
        <v>600</v>
      </c>
      <c r="L123" s="56">
        <v>1000</v>
      </c>
      <c r="M123" s="56">
        <v>1000</v>
      </c>
      <c r="N123" s="56">
        <v>1000</v>
      </c>
      <c r="Q123" s="73" t="str">
        <f>H122</f>
        <v>High</v>
      </c>
      <c r="R123" s="73">
        <f>H135</f>
        <v>17403000</v>
      </c>
      <c r="S123" s="75">
        <f>I136</f>
        <v>319050</v>
      </c>
      <c r="T123" s="73" t="str">
        <f>N122</f>
        <v>High</v>
      </c>
      <c r="U123" s="73">
        <f>N135</f>
        <v>120837000</v>
      </c>
      <c r="V123" s="73">
        <f>N136</f>
        <v>930250</v>
      </c>
    </row>
    <row r="124" spans="1:23" ht="20.25" customHeight="1" x14ac:dyDescent="0.2">
      <c r="B124" s="39" t="s">
        <v>344</v>
      </c>
      <c r="C124" s="53" t="s">
        <v>345</v>
      </c>
      <c r="E124" s="62">
        <v>1</v>
      </c>
      <c r="F124" s="62">
        <v>2.5</v>
      </c>
      <c r="G124" s="62">
        <v>2.5</v>
      </c>
      <c r="H124" s="62">
        <v>2.5</v>
      </c>
      <c r="I124" s="62">
        <v>5</v>
      </c>
      <c r="J124" s="62">
        <v>5</v>
      </c>
      <c r="K124" s="62">
        <v>5</v>
      </c>
      <c r="L124" s="62">
        <v>10</v>
      </c>
      <c r="M124" s="62">
        <v>10</v>
      </c>
      <c r="N124" s="62">
        <v>10</v>
      </c>
      <c r="Q124" s="73"/>
      <c r="R124" s="73"/>
      <c r="S124" s="75"/>
      <c r="T124" s="73"/>
      <c r="U124" s="73"/>
      <c r="V124" s="73"/>
    </row>
    <row r="125" spans="1:23" ht="20.25" customHeight="1" x14ac:dyDescent="0.2">
      <c r="Q125" s="73"/>
      <c r="R125" s="73"/>
      <c r="S125" s="75"/>
      <c r="T125" s="73"/>
      <c r="U125" s="73"/>
      <c r="V125" s="73"/>
    </row>
    <row r="126" spans="1:23" ht="20.25" customHeight="1" x14ac:dyDescent="0.2">
      <c r="B126" s="39" t="s">
        <v>347</v>
      </c>
      <c r="C126" s="53" t="s">
        <v>332</v>
      </c>
      <c r="E126" s="54" cm="1">
        <f t="array" ref="E126">_xlfn.IFS(E122="High",'Calculations &amp; Assumptions'!$C$60,E122="Medium",'Calculations &amp; Assumptions'!$C$61,E122="Low",'Calculations &amp; Assumptions'!$C$62)*E121</f>
        <v>236015</v>
      </c>
      <c r="F126" s="54" cm="1">
        <f t="array" ref="F126">_xlfn.IFS(F122="High",'Calculations &amp; Assumptions'!$C$60,F122="Medium",'Calculations &amp; Assumptions'!$C$61,F122="Low",'Calculations &amp; Assumptions'!$C$62)*F121</f>
        <v>5560440</v>
      </c>
      <c r="G126" s="54" cm="1">
        <f t="array" ref="G126">_xlfn.IFS(G122="High",'Calculations &amp; Assumptions'!$C$60,G122="Medium",'Calculations &amp; Assumptions'!$C$61,G122="Low",'Calculations &amp; Assumptions'!$C$62)*G121</f>
        <v>6035250</v>
      </c>
      <c r="H126" s="54" cm="1">
        <f t="array" ref="H126">_xlfn.IFS(H122="High",'Calculations &amp; Assumptions'!$C$60,H122="Medium",'Calculations &amp; Assumptions'!$C$61,H122="Low",'Calculations &amp; Assumptions'!$C$62)*H121</f>
        <v>7080450</v>
      </c>
      <c r="I126" s="54" cm="1">
        <f t="array" ref="I126">_xlfn.IFS(I122="High",'Calculations &amp; Assumptions'!$C$60,I122="Medium",'Calculations &amp; Assumptions'!$C$61,I122="Low",'Calculations &amp; Assumptions'!$C$62)*I121</f>
        <v>18534800</v>
      </c>
      <c r="J126" s="54" cm="1">
        <f t="array" ref="J126">_xlfn.IFS(J122="High",'Calculations &amp; Assumptions'!$C$60,J122="Medium",'Calculations &amp; Assumptions'!$C$61,J122="Low",'Calculations &amp; Assumptions'!$C$62)*J121</f>
        <v>20117500</v>
      </c>
      <c r="K126" s="54" cm="1">
        <f t="array" ref="K126">_xlfn.IFS(K122="High",'Calculations &amp; Assumptions'!$C$60,K122="Medium",'Calculations &amp; Assumptions'!$C$61,K122="Low",'Calculations &amp; Assumptions'!$C$62)*K121</f>
        <v>23601500</v>
      </c>
      <c r="L126" s="54" cm="1">
        <f t="array" ref="L126">_xlfn.IFS(L122="High",'Calculations &amp; Assumptions'!$C$60,L122="Medium",'Calculations &amp; Assumptions'!$C$61,L122="Low",'Calculations &amp; Assumptions'!$C$62)*L121</f>
        <v>55604400</v>
      </c>
      <c r="M126" s="54" cm="1">
        <f t="array" ref="M126">_xlfn.IFS(M122="High",'Calculations &amp; Assumptions'!$C$60,M122="Medium",'Calculations &amp; Assumptions'!$C$61,M122="Low",'Calculations &amp; Assumptions'!$C$62)*M121</f>
        <v>60352500</v>
      </c>
      <c r="N126" s="54" cm="1">
        <f t="array" ref="N126">_xlfn.IFS(N122="High",'Calculations &amp; Assumptions'!$C$60,N122="Medium",'Calculations &amp; Assumptions'!$C$61,N122="Low",'Calculations &amp; Assumptions'!$C$62)*N121</f>
        <v>70804500</v>
      </c>
    </row>
    <row r="127" spans="1:23" ht="20.25" customHeight="1" x14ac:dyDescent="0.2">
      <c r="B127" s="39" t="s">
        <v>348</v>
      </c>
      <c r="C127" s="53" t="s">
        <v>332</v>
      </c>
      <c r="E127" s="54">
        <f>E123*'Calculations &amp; Assumptions'!$C$65</f>
        <v>6495</v>
      </c>
      <c r="F127" s="54">
        <f>F123*'Calculations &amp; Assumptions'!$C$65</f>
        <v>1299000</v>
      </c>
      <c r="G127" s="54">
        <f>G123*'Calculations &amp; Assumptions'!$C$65</f>
        <v>1299000</v>
      </c>
      <c r="H127" s="54">
        <f>H123*'Calculations &amp; Assumptions'!$C$65</f>
        <v>1299000</v>
      </c>
      <c r="I127" s="54">
        <f>I123*'Calculations &amp; Assumptions'!$C$65</f>
        <v>3897000</v>
      </c>
      <c r="J127" s="54">
        <f>J123*'Calculations &amp; Assumptions'!$C$65</f>
        <v>3897000</v>
      </c>
      <c r="K127" s="54">
        <f>K123*'Calculations &amp; Assumptions'!$C$65</f>
        <v>3897000</v>
      </c>
      <c r="L127" s="54">
        <f>L123*'Calculations &amp; Assumptions'!$C$65</f>
        <v>6495000</v>
      </c>
      <c r="M127" s="54">
        <f>M123*'Calculations &amp; Assumptions'!$C$65</f>
        <v>6495000</v>
      </c>
      <c r="N127" s="54">
        <f>N123*'Calculations &amp; Assumptions'!$C$65</f>
        <v>6495000</v>
      </c>
    </row>
    <row r="128" spans="1:23" ht="20.25" customHeight="1" x14ac:dyDescent="0.2">
      <c r="B128" s="39" t="s">
        <v>305</v>
      </c>
      <c r="C128" s="53" t="s">
        <v>332</v>
      </c>
      <c r="E128" s="54">
        <f>E124*'Calculations &amp; Assumptions'!$C$68</f>
        <v>2598000</v>
      </c>
      <c r="F128" s="54">
        <f>F124*'Calculations &amp; Assumptions'!$C$68</f>
        <v>6495000</v>
      </c>
      <c r="G128" s="54">
        <f>G124*'Calculations &amp; Assumptions'!$C$68</f>
        <v>6495000</v>
      </c>
      <c r="H128" s="54">
        <f>H124*'Calculations &amp; Assumptions'!$C$68</f>
        <v>6495000</v>
      </c>
      <c r="I128" s="54">
        <f>I124*'Calculations &amp; Assumptions'!$C$68</f>
        <v>12990000</v>
      </c>
      <c r="J128" s="54">
        <f>J124*'Calculations &amp; Assumptions'!$C$68</f>
        <v>12990000</v>
      </c>
      <c r="K128" s="54">
        <f>K124*'Calculations &amp; Assumptions'!$C$68</f>
        <v>12990000</v>
      </c>
      <c r="L128" s="54">
        <f>L124*'Calculations &amp; Assumptions'!$C$68</f>
        <v>25980000</v>
      </c>
      <c r="M128" s="54">
        <f>M124*'Calculations &amp; Assumptions'!$C$68</f>
        <v>25980000</v>
      </c>
      <c r="N128" s="54">
        <f>N124*'Calculations &amp; Assumptions'!$C$68</f>
        <v>25980000</v>
      </c>
    </row>
    <row r="129" spans="2:14" ht="20.25" customHeight="1" x14ac:dyDescent="0.2"/>
    <row r="130" spans="2:14" ht="20.25" customHeight="1" x14ac:dyDescent="0.2">
      <c r="B130" s="39" t="s">
        <v>313</v>
      </c>
      <c r="C130" s="53">
        <v>0.05</v>
      </c>
      <c r="E130" s="54">
        <f t="shared" ref="E130:N130" si="23">$C130*(E126+E127+E128)</f>
        <v>142025.5</v>
      </c>
      <c r="F130" s="54">
        <f t="shared" si="23"/>
        <v>667722</v>
      </c>
      <c r="G130" s="54">
        <f t="shared" si="23"/>
        <v>691462.5</v>
      </c>
      <c r="H130" s="54">
        <f t="shared" si="23"/>
        <v>743722.5</v>
      </c>
      <c r="I130" s="54">
        <f t="shared" si="23"/>
        <v>1771090</v>
      </c>
      <c r="J130" s="54">
        <f t="shared" si="23"/>
        <v>1850225</v>
      </c>
      <c r="K130" s="54">
        <f t="shared" si="23"/>
        <v>2024425</v>
      </c>
      <c r="L130" s="54">
        <f t="shared" si="23"/>
        <v>4403970</v>
      </c>
      <c r="M130" s="54">
        <f t="shared" si="23"/>
        <v>4641375</v>
      </c>
      <c r="N130" s="54">
        <f t="shared" si="23"/>
        <v>5163975</v>
      </c>
    </row>
    <row r="131" spans="2:14" ht="20.25" customHeight="1" x14ac:dyDescent="0.2">
      <c r="B131" s="39" t="s">
        <v>314</v>
      </c>
      <c r="C131" s="53">
        <v>0.1</v>
      </c>
      <c r="E131" s="54">
        <f t="shared" ref="E131:N131" si="24">$C131*(E126+E127+E128)</f>
        <v>284051</v>
      </c>
      <c r="F131" s="54">
        <f t="shared" si="24"/>
        <v>1335444</v>
      </c>
      <c r="G131" s="54">
        <f t="shared" si="24"/>
        <v>1382925</v>
      </c>
      <c r="H131" s="54">
        <f t="shared" si="24"/>
        <v>1487445</v>
      </c>
      <c r="I131" s="54">
        <f t="shared" si="24"/>
        <v>3542180</v>
      </c>
      <c r="J131" s="54">
        <f t="shared" si="24"/>
        <v>3700450</v>
      </c>
      <c r="K131" s="54">
        <f t="shared" si="24"/>
        <v>4048850</v>
      </c>
      <c r="L131" s="54">
        <f t="shared" si="24"/>
        <v>8807940</v>
      </c>
      <c r="M131" s="54">
        <f t="shared" si="24"/>
        <v>9282750</v>
      </c>
      <c r="N131" s="54">
        <f t="shared" si="24"/>
        <v>10327950</v>
      </c>
    </row>
    <row r="132" spans="2:14" ht="20.25" customHeight="1" x14ac:dyDescent="0.2">
      <c r="B132" s="39" t="s">
        <v>326</v>
      </c>
      <c r="C132" s="53">
        <v>0.02</v>
      </c>
      <c r="E132" s="54">
        <f t="shared" ref="E132:N132" si="25">$C132*(E126+E127+E128)</f>
        <v>56810.200000000004</v>
      </c>
      <c r="F132" s="54">
        <f t="shared" si="25"/>
        <v>267088.8</v>
      </c>
      <c r="G132" s="54">
        <f t="shared" si="25"/>
        <v>276585</v>
      </c>
      <c r="H132" s="54">
        <f t="shared" si="25"/>
        <v>297489</v>
      </c>
      <c r="I132" s="54">
        <f t="shared" si="25"/>
        <v>708436</v>
      </c>
      <c r="J132" s="54">
        <f t="shared" si="25"/>
        <v>740090</v>
      </c>
      <c r="K132" s="54">
        <f t="shared" si="25"/>
        <v>809770</v>
      </c>
      <c r="L132" s="54">
        <f t="shared" si="25"/>
        <v>1761588</v>
      </c>
      <c r="M132" s="54">
        <f t="shared" si="25"/>
        <v>1856550</v>
      </c>
      <c r="N132" s="54">
        <f t="shared" si="25"/>
        <v>2065590</v>
      </c>
    </row>
    <row r="133" spans="2:14" ht="20.25" customHeight="1" x14ac:dyDescent="0.2">
      <c r="B133" s="39" t="s">
        <v>329</v>
      </c>
      <c r="C133" s="53" t="s">
        <v>332</v>
      </c>
      <c r="E133" s="55">
        <f t="shared" ref="E133:N133" si="26">SUM(E130:E132)</f>
        <v>482886.7</v>
      </c>
      <c r="F133" s="55">
        <f t="shared" si="26"/>
        <v>2270254.7999999998</v>
      </c>
      <c r="G133" s="55">
        <f t="shared" si="26"/>
        <v>2350972.5</v>
      </c>
      <c r="H133" s="55">
        <f t="shared" si="26"/>
        <v>2528656.5</v>
      </c>
      <c r="I133" s="55">
        <f t="shared" si="26"/>
        <v>6021706</v>
      </c>
      <c r="J133" s="55">
        <f t="shared" si="26"/>
        <v>6290765</v>
      </c>
      <c r="K133" s="55">
        <f t="shared" si="26"/>
        <v>6883045</v>
      </c>
      <c r="L133" s="55">
        <f t="shared" si="26"/>
        <v>14973498</v>
      </c>
      <c r="M133" s="55">
        <f t="shared" si="26"/>
        <v>15780675</v>
      </c>
      <c r="N133" s="55">
        <f t="shared" si="26"/>
        <v>17557515</v>
      </c>
    </row>
    <row r="134" spans="2:14" ht="20.25" customHeight="1" x14ac:dyDescent="0.2"/>
    <row r="135" spans="2:14" ht="20.25" customHeight="1" x14ac:dyDescent="0.2">
      <c r="B135" s="39" t="s">
        <v>331</v>
      </c>
      <c r="C135" s="53" t="s">
        <v>332</v>
      </c>
      <c r="E135" s="55">
        <f>MROUND(SUM(E126:E132),1000)</f>
        <v>3323000</v>
      </c>
      <c r="F135" s="55">
        <f t="shared" ref="F135:N135" si="27">MROUND(SUM(F126:F132),1000)</f>
        <v>15625000</v>
      </c>
      <c r="G135" s="55">
        <f t="shared" si="27"/>
        <v>16180000</v>
      </c>
      <c r="H135" s="55">
        <f t="shared" si="27"/>
        <v>17403000</v>
      </c>
      <c r="I135" s="55">
        <f t="shared" si="27"/>
        <v>41444000</v>
      </c>
      <c r="J135" s="55">
        <f t="shared" si="27"/>
        <v>43295000</v>
      </c>
      <c r="K135" s="55">
        <f t="shared" si="27"/>
        <v>47372000</v>
      </c>
      <c r="L135" s="55">
        <f t="shared" si="27"/>
        <v>103053000</v>
      </c>
      <c r="M135" s="55">
        <f t="shared" si="27"/>
        <v>108608000</v>
      </c>
      <c r="N135" s="55">
        <f t="shared" si="27"/>
        <v>120837000</v>
      </c>
    </row>
    <row r="136" spans="2:14" ht="20.25" customHeight="1" x14ac:dyDescent="0.2">
      <c r="B136" s="39" t="s">
        <v>331</v>
      </c>
      <c r="C136" s="53" t="s">
        <v>322</v>
      </c>
      <c r="E136" s="55">
        <f>MROUND(E135/$C$2,50)</f>
        <v>25600</v>
      </c>
      <c r="F136" s="55">
        <f t="shared" ref="F136:N136" si="28">MROUND(F135/$C$2,50)</f>
        <v>120300</v>
      </c>
      <c r="G136" s="55">
        <f t="shared" si="28"/>
        <v>124550</v>
      </c>
      <c r="H136" s="55">
        <f t="shared" si="28"/>
        <v>133950</v>
      </c>
      <c r="I136" s="55">
        <f t="shared" si="28"/>
        <v>319050</v>
      </c>
      <c r="J136" s="55">
        <f t="shared" si="28"/>
        <v>333300</v>
      </c>
      <c r="K136" s="55">
        <f t="shared" si="28"/>
        <v>364700</v>
      </c>
      <c r="L136" s="55">
        <f t="shared" si="28"/>
        <v>793350</v>
      </c>
      <c r="M136" s="55">
        <f t="shared" si="28"/>
        <v>836100</v>
      </c>
      <c r="N136" s="55">
        <f t="shared" si="28"/>
        <v>930250</v>
      </c>
    </row>
    <row r="137" spans="2:14" ht="20.25" customHeight="1" x14ac:dyDescent="0.2">
      <c r="M137" s="60"/>
      <c r="N137" s="60"/>
    </row>
    <row r="138" spans="2:14" ht="20.25" customHeight="1" x14ac:dyDescent="0.2">
      <c r="B138" s="39" t="s">
        <v>374</v>
      </c>
      <c r="C138" s="53" t="s">
        <v>322</v>
      </c>
      <c r="E138" s="55">
        <f t="shared" ref="E138:N138" si="29">E136/E123</f>
        <v>25600</v>
      </c>
      <c r="F138" s="55">
        <f t="shared" si="29"/>
        <v>601.5</v>
      </c>
      <c r="G138" s="55">
        <f t="shared" si="29"/>
        <v>622.75</v>
      </c>
      <c r="H138" s="55">
        <f t="shared" si="29"/>
        <v>669.75</v>
      </c>
      <c r="I138" s="55">
        <f t="shared" si="29"/>
        <v>531.75</v>
      </c>
      <c r="J138" s="55">
        <f t="shared" si="29"/>
        <v>555.5</v>
      </c>
      <c r="K138" s="55">
        <f t="shared" si="29"/>
        <v>607.83333333333337</v>
      </c>
      <c r="L138" s="55">
        <f t="shared" si="29"/>
        <v>793.35</v>
      </c>
      <c r="M138" s="55">
        <f t="shared" si="29"/>
        <v>836.1</v>
      </c>
      <c r="N138" s="55">
        <f t="shared" si="29"/>
        <v>930.25</v>
      </c>
    </row>
    <row r="139" spans="2:14" ht="20.25" customHeight="1" x14ac:dyDescent="0.2">
      <c r="B139" s="39" t="s">
        <v>321</v>
      </c>
      <c r="C139" s="53" t="s">
        <v>322</v>
      </c>
      <c r="E139" s="55">
        <f t="shared" ref="E139:N139" si="30">E136/E121</f>
        <v>25600</v>
      </c>
      <c r="F139" s="55">
        <f t="shared" si="30"/>
        <v>4010</v>
      </c>
      <c r="G139" s="55">
        <f t="shared" si="30"/>
        <v>4151.666666666667</v>
      </c>
      <c r="H139" s="55">
        <f t="shared" si="30"/>
        <v>4465</v>
      </c>
      <c r="I139" s="55">
        <f t="shared" si="30"/>
        <v>3190.5</v>
      </c>
      <c r="J139" s="55">
        <f t="shared" si="30"/>
        <v>3333</v>
      </c>
      <c r="K139" s="55">
        <f t="shared" si="30"/>
        <v>3647</v>
      </c>
      <c r="L139" s="55">
        <f t="shared" si="30"/>
        <v>2644.5</v>
      </c>
      <c r="M139" s="55">
        <f t="shared" si="30"/>
        <v>2787</v>
      </c>
      <c r="N139" s="55">
        <f t="shared" si="30"/>
        <v>3100.8333333333335</v>
      </c>
    </row>
    <row r="140" spans="2:14" ht="20.25" customHeight="1" x14ac:dyDescent="0.2"/>
    <row r="141" spans="2:14" ht="20.25" customHeight="1" x14ac:dyDescent="0.2"/>
    <row r="142" spans="2:14" ht="20.25" customHeight="1" x14ac:dyDescent="0.2"/>
    <row r="143" spans="2:14" ht="20.25" customHeight="1" x14ac:dyDescent="0.2"/>
    <row r="144" spans="2:14" ht="20.25" customHeight="1" x14ac:dyDescent="0.2"/>
    <row r="145" spans="2:23" ht="20.25" customHeight="1" x14ac:dyDescent="0.2"/>
    <row r="146" spans="2:23" ht="20.25" customHeight="1" x14ac:dyDescent="0.2"/>
    <row r="147" spans="2:23" ht="20.25" customHeight="1" x14ac:dyDescent="0.2"/>
    <row r="148" spans="2:23" ht="20.25" customHeight="1" x14ac:dyDescent="0.2"/>
    <row r="149" spans="2:23" ht="20.25" customHeight="1" x14ac:dyDescent="0.2"/>
    <row r="150" spans="2:23" ht="20.25" customHeight="1" x14ac:dyDescent="0.2"/>
    <row r="151" spans="2:23" ht="20.25" customHeight="1" x14ac:dyDescent="0.2"/>
    <row r="152" spans="2:23" ht="20.25" customHeight="1" x14ac:dyDescent="0.2"/>
    <row r="153" spans="2:23" ht="20.25" customHeight="1" x14ac:dyDescent="0.2"/>
    <row r="154" spans="2:23" ht="20.25" customHeight="1" x14ac:dyDescent="0.2"/>
    <row r="155" spans="2:23" ht="20.25" customHeight="1" x14ac:dyDescent="0.2"/>
    <row r="156" spans="2:23" ht="20.25" customHeight="1" x14ac:dyDescent="0.2"/>
    <row r="157" spans="2:23" ht="20.25" customHeight="1" x14ac:dyDescent="0.2">
      <c r="B157" s="122" t="s">
        <v>295</v>
      </c>
      <c r="C157" s="123"/>
      <c r="D157" s="123"/>
      <c r="E157" s="123"/>
      <c r="F157" s="123"/>
      <c r="G157" s="123"/>
      <c r="H157" s="123"/>
      <c r="I157" s="123"/>
      <c r="J157" s="123"/>
      <c r="K157" s="123"/>
      <c r="L157" s="123"/>
      <c r="M157" s="123"/>
      <c r="N157" s="123"/>
      <c r="O157" s="44"/>
      <c r="P157" s="44"/>
      <c r="Q157" s="44"/>
      <c r="R157" s="44"/>
      <c r="S157" s="44"/>
      <c r="T157" s="44"/>
      <c r="U157" s="44"/>
      <c r="V157" s="44"/>
      <c r="W157" s="45"/>
    </row>
    <row r="158" spans="2:23" ht="20.25" customHeight="1" x14ac:dyDescent="0.2">
      <c r="O158" s="44"/>
      <c r="P158" s="44"/>
      <c r="Q158" s="44"/>
      <c r="R158" s="44"/>
      <c r="S158" s="44"/>
      <c r="T158" s="44"/>
      <c r="U158" s="44"/>
      <c r="V158" s="44"/>
      <c r="W158" s="45"/>
    </row>
    <row r="159" spans="2:23" ht="20.25" customHeight="1" x14ac:dyDescent="0.2">
      <c r="B159" s="39" t="s">
        <v>328</v>
      </c>
      <c r="C159" s="53" t="s">
        <v>334</v>
      </c>
      <c r="E159" s="56">
        <v>1</v>
      </c>
      <c r="F159" s="56">
        <v>2</v>
      </c>
      <c r="G159" s="56">
        <v>4</v>
      </c>
      <c r="H159" s="56">
        <v>6</v>
      </c>
      <c r="I159" s="56">
        <v>8</v>
      </c>
      <c r="J159" s="56">
        <v>10</v>
      </c>
      <c r="K159" s="56">
        <v>15</v>
      </c>
      <c r="L159" s="56">
        <v>20</v>
      </c>
      <c r="M159" s="56">
        <v>25</v>
      </c>
      <c r="N159" s="56">
        <v>30</v>
      </c>
      <c r="O159" s="44"/>
      <c r="P159" s="44"/>
      <c r="Q159" s="74" t="s">
        <v>404</v>
      </c>
      <c r="R159" s="74" t="s">
        <v>332</v>
      </c>
      <c r="S159" s="74" t="s">
        <v>322</v>
      </c>
      <c r="T159" s="74" t="s">
        <v>404</v>
      </c>
      <c r="U159" s="74" t="s">
        <v>332</v>
      </c>
      <c r="V159" s="74" t="s">
        <v>322</v>
      </c>
      <c r="W159" s="45"/>
    </row>
    <row r="160" spans="2:23" ht="20.25" customHeight="1" x14ac:dyDescent="0.2">
      <c r="O160" s="44"/>
      <c r="P160" s="44"/>
      <c r="Q160" s="44"/>
      <c r="R160" s="44"/>
      <c r="S160" s="44"/>
      <c r="T160" s="44"/>
      <c r="U160" s="44"/>
      <c r="V160" s="44"/>
      <c r="W160" s="45"/>
    </row>
    <row r="161" spans="2:23" ht="20.25" customHeight="1" x14ac:dyDescent="0.2">
      <c r="E161" s="133" t="s">
        <v>361</v>
      </c>
      <c r="F161" s="134"/>
      <c r="G161" s="134"/>
      <c r="H161" s="134"/>
      <c r="I161" s="134"/>
      <c r="J161" s="134"/>
      <c r="K161" s="134"/>
      <c r="L161" s="134"/>
      <c r="M161" s="134"/>
      <c r="N161" s="135"/>
      <c r="O161" s="44"/>
      <c r="P161" s="44"/>
      <c r="Q161" s="44"/>
      <c r="R161" s="44"/>
      <c r="S161" s="44"/>
      <c r="T161" s="44"/>
      <c r="U161" s="44"/>
      <c r="V161" s="44"/>
      <c r="W161" s="45"/>
    </row>
    <row r="162" spans="2:23" ht="20.25" customHeight="1" x14ac:dyDescent="0.2">
      <c r="B162" s="39" t="s">
        <v>327</v>
      </c>
      <c r="C162" s="53" t="s">
        <v>332</v>
      </c>
      <c r="E162" s="54">
        <f>E159*('Calculations &amp; Assumptions'!$C$121*LOG(E159,10)+'Calculations &amp; Assumptions'!$C$120)</f>
        <v>124858.5</v>
      </c>
      <c r="F162" s="54">
        <f>F159*('Calculations &amp; Assumptions'!$C$121*LOG(F159,10)+'Calculations &amp; Assumptions'!$C$120)</f>
        <v>217354.36091534959</v>
      </c>
      <c r="G162" s="54">
        <f>G159*('Calculations &amp; Assumptions'!$C$121*LOG(G159,10)+'Calculations &amp; Assumptions'!$C$120)</f>
        <v>369983.44366139843</v>
      </c>
      <c r="H162" s="54">
        <f>H159*('Calculations &amp; Assumptions'!$C$121*LOG(H159,10)+'Calculations &amp; Assumptions'!$C$120)</f>
        <v>498182.37462541769</v>
      </c>
      <c r="I162" s="54">
        <f>I159*('Calculations &amp; Assumptions'!$C$121*LOG(I159,10)+'Calculations &amp; Assumptions'!$C$120)</f>
        <v>610516.33098419523</v>
      </c>
      <c r="J162" s="54">
        <f>J159*('Calculations &amp; Assumptions'!$C$121*LOG(J159,10)+'Calculations &amp; Assumptions'!$C$120)</f>
        <v>711053.20000000007</v>
      </c>
      <c r="K162" s="54">
        <f>K159*('Calculations &amp; Assumptions'!$C$121*LOG(K159,10)+'Calculations &amp; Assumptions'!$C$120)</f>
        <v>924597.8228333001</v>
      </c>
      <c r="L162" s="54">
        <f>L159*('Calculations &amp; Assumptions'!$C$121*LOG(L159,10)+'Calculations &amp; Assumptions'!$C$120)</f>
        <v>1098480.009153496</v>
      </c>
      <c r="M162" s="54">
        <f>M159*('Calculations &amp; Assumptions'!$C$121*LOG(M159,10)+'Calculations &amp; Assumptions'!$C$120)</f>
        <v>1242869.4771162602</v>
      </c>
      <c r="N162" s="54">
        <f>N159*('Calculations &amp; Assumptions'!$C$121*LOG(N159,10)+'Calculations &amp; Assumptions'!$C$120)</f>
        <v>1363756.0593968444</v>
      </c>
      <c r="Q162" s="73">
        <f>E159</f>
        <v>1</v>
      </c>
      <c r="R162" s="73">
        <f>E166</f>
        <v>146000</v>
      </c>
      <c r="S162" s="75">
        <f>E167</f>
        <v>1100</v>
      </c>
      <c r="T162" s="73">
        <f>J159</f>
        <v>10</v>
      </c>
      <c r="U162" s="73">
        <f>J166</f>
        <v>832000</v>
      </c>
      <c r="V162" s="73">
        <f>J167</f>
        <v>6400</v>
      </c>
    </row>
    <row r="163" spans="2:23" ht="20.25" customHeight="1" x14ac:dyDescent="0.2">
      <c r="B163" s="39" t="s">
        <v>313</v>
      </c>
      <c r="C163" s="53">
        <v>0.05</v>
      </c>
      <c r="E163" s="54">
        <f t="shared" ref="E163:N163" si="31">$C163*E162</f>
        <v>6242.9250000000002</v>
      </c>
      <c r="F163" s="54">
        <f t="shared" si="31"/>
        <v>10867.71804576748</v>
      </c>
      <c r="G163" s="54">
        <f t="shared" si="31"/>
        <v>18499.172183069921</v>
      </c>
      <c r="H163" s="54">
        <f t="shared" si="31"/>
        <v>24909.118731270886</v>
      </c>
      <c r="I163" s="54">
        <f t="shared" si="31"/>
        <v>30525.816549209761</v>
      </c>
      <c r="J163" s="54">
        <f t="shared" si="31"/>
        <v>35552.660000000003</v>
      </c>
      <c r="K163" s="54">
        <f t="shared" si="31"/>
        <v>46229.891141665008</v>
      </c>
      <c r="L163" s="54">
        <f t="shared" si="31"/>
        <v>54924.000457674803</v>
      </c>
      <c r="M163" s="54">
        <f t="shared" si="31"/>
        <v>62143.473855813012</v>
      </c>
      <c r="N163" s="54">
        <f t="shared" si="31"/>
        <v>68187.802969842218</v>
      </c>
      <c r="Q163" s="73">
        <f>F159</f>
        <v>2</v>
      </c>
      <c r="R163" s="73">
        <f>F166</f>
        <v>254000</v>
      </c>
      <c r="S163" s="75">
        <f>F167</f>
        <v>1950</v>
      </c>
      <c r="T163" s="73">
        <f>K159</f>
        <v>15</v>
      </c>
      <c r="U163" s="73">
        <f>K166</f>
        <v>1082000</v>
      </c>
      <c r="V163" s="73">
        <f>K167</f>
        <v>8350</v>
      </c>
    </row>
    <row r="164" spans="2:23" ht="20.25" customHeight="1" x14ac:dyDescent="0.2">
      <c r="B164" s="39" t="s">
        <v>314</v>
      </c>
      <c r="C164" s="53">
        <v>0.1</v>
      </c>
      <c r="E164" s="54">
        <f t="shared" ref="E164:N164" si="32">$C164*E162</f>
        <v>12485.85</v>
      </c>
      <c r="F164" s="54">
        <f t="shared" si="32"/>
        <v>21735.436091534961</v>
      </c>
      <c r="G164" s="54">
        <f t="shared" si="32"/>
        <v>36998.344366139841</v>
      </c>
      <c r="H164" s="54">
        <f t="shared" si="32"/>
        <v>49818.237462541772</v>
      </c>
      <c r="I164" s="54">
        <f t="shared" si="32"/>
        <v>61051.633098419523</v>
      </c>
      <c r="J164" s="54">
        <f t="shared" si="32"/>
        <v>71105.320000000007</v>
      </c>
      <c r="K164" s="54">
        <f t="shared" si="32"/>
        <v>92459.782283330016</v>
      </c>
      <c r="L164" s="54">
        <f t="shared" si="32"/>
        <v>109848.00091534961</v>
      </c>
      <c r="M164" s="54">
        <f t="shared" si="32"/>
        <v>124286.94771162602</v>
      </c>
      <c r="N164" s="54">
        <f t="shared" si="32"/>
        <v>136375.60593968444</v>
      </c>
      <c r="Q164" s="73">
        <f>G159</f>
        <v>4</v>
      </c>
      <c r="R164" s="73">
        <f>G166</f>
        <v>433000</v>
      </c>
      <c r="S164" s="75">
        <f>G167</f>
        <v>3350</v>
      </c>
      <c r="T164" s="73">
        <f>L159</f>
        <v>20</v>
      </c>
      <c r="U164" s="73">
        <f>L166</f>
        <v>1285000</v>
      </c>
      <c r="V164" s="73">
        <f>L167</f>
        <v>9900</v>
      </c>
    </row>
    <row r="165" spans="2:23" ht="20.25" customHeight="1" x14ac:dyDescent="0.2">
      <c r="B165" s="39" t="s">
        <v>326</v>
      </c>
      <c r="C165" s="53">
        <v>0.02</v>
      </c>
      <c r="E165" s="54">
        <f t="shared" ref="E165:N165" si="33">$C165*E162</f>
        <v>2497.17</v>
      </c>
      <c r="F165" s="54">
        <f t="shared" si="33"/>
        <v>4347.0872183069923</v>
      </c>
      <c r="G165" s="54">
        <f t="shared" si="33"/>
        <v>7399.668873227969</v>
      </c>
      <c r="H165" s="54">
        <f t="shared" si="33"/>
        <v>9963.6474925083548</v>
      </c>
      <c r="I165" s="54">
        <f t="shared" si="33"/>
        <v>12210.326619683905</v>
      </c>
      <c r="J165" s="54">
        <f t="shared" si="33"/>
        <v>14221.064000000002</v>
      </c>
      <c r="K165" s="54">
        <f t="shared" si="33"/>
        <v>18491.956456666001</v>
      </c>
      <c r="L165" s="54">
        <f t="shared" si="33"/>
        <v>21969.600183069921</v>
      </c>
      <c r="M165" s="54">
        <f t="shared" si="33"/>
        <v>24857.389542325203</v>
      </c>
      <c r="N165" s="54">
        <f t="shared" si="33"/>
        <v>27275.121187936889</v>
      </c>
      <c r="Q165" s="73">
        <f>H159</f>
        <v>6</v>
      </c>
      <c r="R165" s="73">
        <f>H166</f>
        <v>583000</v>
      </c>
      <c r="S165" s="75">
        <f>H167</f>
        <v>4500</v>
      </c>
      <c r="T165" s="73">
        <f>M159</f>
        <v>25</v>
      </c>
      <c r="U165" s="73">
        <f>M166</f>
        <v>1454000</v>
      </c>
      <c r="V165" s="73">
        <f>M167</f>
        <v>11200</v>
      </c>
    </row>
    <row r="166" spans="2:23" ht="20.25" customHeight="1" x14ac:dyDescent="0.2">
      <c r="B166" s="39" t="s">
        <v>331</v>
      </c>
      <c r="C166" s="53" t="s">
        <v>332</v>
      </c>
      <c r="E166" s="55">
        <f>MROUND(SUM(E162:E165),1000)</f>
        <v>146000</v>
      </c>
      <c r="F166" s="55">
        <f t="shared" ref="F166:N166" si="34">MROUND(SUM(F162:F165),1000)</f>
        <v>254000</v>
      </c>
      <c r="G166" s="55">
        <f t="shared" si="34"/>
        <v>433000</v>
      </c>
      <c r="H166" s="55">
        <f t="shared" si="34"/>
        <v>583000</v>
      </c>
      <c r="I166" s="55">
        <f t="shared" si="34"/>
        <v>714000</v>
      </c>
      <c r="J166" s="55">
        <f t="shared" si="34"/>
        <v>832000</v>
      </c>
      <c r="K166" s="55">
        <f t="shared" si="34"/>
        <v>1082000</v>
      </c>
      <c r="L166" s="55">
        <f t="shared" si="34"/>
        <v>1285000</v>
      </c>
      <c r="M166" s="55">
        <f t="shared" si="34"/>
        <v>1454000</v>
      </c>
      <c r="N166" s="55">
        <f t="shared" si="34"/>
        <v>1596000</v>
      </c>
      <c r="Q166" s="73">
        <f>I159</f>
        <v>8</v>
      </c>
      <c r="R166" s="73">
        <f>I166</f>
        <v>714000</v>
      </c>
      <c r="S166" s="75">
        <f>H167</f>
        <v>4500</v>
      </c>
      <c r="T166" s="73">
        <f>N159</f>
        <v>30</v>
      </c>
      <c r="U166" s="73">
        <f>N166</f>
        <v>1596000</v>
      </c>
      <c r="V166" s="73">
        <f>N167</f>
        <v>12300</v>
      </c>
    </row>
    <row r="167" spans="2:23" ht="20.25" customHeight="1" x14ac:dyDescent="0.2">
      <c r="B167" s="39" t="s">
        <v>331</v>
      </c>
      <c r="C167" s="53" t="s">
        <v>322</v>
      </c>
      <c r="E167" s="55">
        <f>MROUND(E166/$C$2,50)</f>
        <v>1100</v>
      </c>
      <c r="F167" s="55">
        <f t="shared" ref="F167:N167" si="35">MROUND(F166/$C$2,50)</f>
        <v>1950</v>
      </c>
      <c r="G167" s="55">
        <f t="shared" si="35"/>
        <v>3350</v>
      </c>
      <c r="H167" s="55">
        <f t="shared" si="35"/>
        <v>4500</v>
      </c>
      <c r="I167" s="55">
        <f t="shared" si="35"/>
        <v>5500</v>
      </c>
      <c r="J167" s="55">
        <f t="shared" si="35"/>
        <v>6400</v>
      </c>
      <c r="K167" s="55">
        <f t="shared" si="35"/>
        <v>8350</v>
      </c>
      <c r="L167" s="55">
        <f t="shared" si="35"/>
        <v>9900</v>
      </c>
      <c r="M167" s="55">
        <f t="shared" si="35"/>
        <v>11200</v>
      </c>
      <c r="N167" s="55">
        <f t="shared" si="35"/>
        <v>12300</v>
      </c>
    </row>
    <row r="168" spans="2:23" ht="20.25" customHeight="1" x14ac:dyDescent="0.2"/>
    <row r="169" spans="2:23" ht="20.25" customHeight="1" x14ac:dyDescent="0.2">
      <c r="E169" s="133" t="s">
        <v>362</v>
      </c>
      <c r="F169" s="134"/>
      <c r="G169" s="134"/>
      <c r="H169" s="134"/>
      <c r="I169" s="134"/>
      <c r="J169" s="134"/>
      <c r="K169" s="134"/>
      <c r="L169" s="134"/>
      <c r="M169" s="134"/>
      <c r="N169" s="135"/>
    </row>
    <row r="170" spans="2:23" ht="20.25" customHeight="1" x14ac:dyDescent="0.2">
      <c r="B170" s="39" t="s">
        <v>327</v>
      </c>
      <c r="C170" s="53" t="s">
        <v>332</v>
      </c>
      <c r="E170" s="54">
        <f>E159*1.5*('Calculations &amp; Assumptions'!$C$132*LOG(E159,10)+'Calculations &amp; Assumptions'!$C$131)</f>
        <v>225705.75</v>
      </c>
      <c r="F170" s="54">
        <f>F159*1.5*('Calculations &amp; Assumptions'!$C$132*LOG(F159,10)+'Calculations &amp; Assumptions'!$C$131)</f>
        <v>411946.04311615817</v>
      </c>
      <c r="G170" s="54">
        <f>G159*1.5*('Calculations &amp; Assumptions'!$C$132*LOG(G159,10)+'Calculations &amp; Assumptions'!$C$131)</f>
        <v>744961.17246463278</v>
      </c>
      <c r="H170" s="54">
        <f>H159*1.5*('Calculations &amp; Assumptions'!$C$132*LOG(H159,10)+'Calculations &amp; Assumptions'!$C$131)</f>
        <v>1048184.3216443239</v>
      </c>
      <c r="I170" s="54">
        <f>I159*1.5*('Calculations &amp; Assumptions'!$C$132*LOG(I159,10)+'Calculations &amp; Assumptions'!$C$131)</f>
        <v>1332060.5173938982</v>
      </c>
      <c r="J170" s="54">
        <f>J159*1.5*('Calculations &amp; Assumptions'!$C$132*LOG(J159,10)+'Calculations &amp; Assumptions'!$C$131)</f>
        <v>1601550.45</v>
      </c>
      <c r="K170" s="54">
        <f>K159*1.5*('Calculations &amp; Assumptions'!$C$132*LOG(K159,10)+'Calculations &amp; Assumptions'!$C$131)</f>
        <v>2229182.0823684372</v>
      </c>
      <c r="L170" s="54">
        <f>L159*1.5*('Calculations &amp; Assumptions'!$C$132*LOG(L159,10)+'Calculations &amp; Assumptions'!$C$131)</f>
        <v>2808446.3311615819</v>
      </c>
      <c r="M170" s="54">
        <f>M159*1.5*('Calculations &amp; Assumptions'!$C$132*LOG(M159,10)+'Calculations &amp; Assumptions'!$C$131)</f>
        <v>3351744.9220960457</v>
      </c>
      <c r="N170" s="54">
        <f>N159*1.5*('Calculations &amp; Assumptions'!$C$132*LOG(N159,10)+'Calculations &amp; Assumptions'!$C$131)</f>
        <v>3866382.3114792467</v>
      </c>
      <c r="Q170" s="73">
        <f>E159</f>
        <v>1</v>
      </c>
      <c r="R170" s="73">
        <f>E174</f>
        <v>264000</v>
      </c>
      <c r="S170" s="75">
        <f>E175</f>
        <v>2050</v>
      </c>
      <c r="T170" s="73">
        <f>J159</f>
        <v>10</v>
      </c>
      <c r="U170" s="73">
        <f>J174</f>
        <v>1874000</v>
      </c>
      <c r="V170" s="73">
        <f>J175</f>
        <v>14450</v>
      </c>
    </row>
    <row r="171" spans="2:23" ht="20.25" customHeight="1" x14ac:dyDescent="0.2">
      <c r="B171" s="39" t="s">
        <v>313</v>
      </c>
      <c r="C171" s="53">
        <f>'Calculations &amp; Assumptions'!C50</f>
        <v>0.05</v>
      </c>
      <c r="E171" s="54">
        <f t="shared" ref="E171:N171" si="36">$C171*E170</f>
        <v>11285.2875</v>
      </c>
      <c r="F171" s="54">
        <f t="shared" si="36"/>
        <v>20597.302155807909</v>
      </c>
      <c r="G171" s="54">
        <f t="shared" si="36"/>
        <v>37248.058623231642</v>
      </c>
      <c r="H171" s="54">
        <f t="shared" si="36"/>
        <v>52409.216082216197</v>
      </c>
      <c r="I171" s="54">
        <f t="shared" si="36"/>
        <v>66603.025869694917</v>
      </c>
      <c r="J171" s="54">
        <f t="shared" si="36"/>
        <v>80077.522500000006</v>
      </c>
      <c r="K171" s="54">
        <f t="shared" si="36"/>
        <v>111459.10411842186</v>
      </c>
      <c r="L171" s="54">
        <f t="shared" si="36"/>
        <v>140422.3165580791</v>
      </c>
      <c r="M171" s="54">
        <f t="shared" si="36"/>
        <v>167587.2461048023</v>
      </c>
      <c r="N171" s="54">
        <f t="shared" si="36"/>
        <v>193319.11557396234</v>
      </c>
      <c r="Q171" s="73">
        <f>F159</f>
        <v>2</v>
      </c>
      <c r="R171" s="73">
        <f>F174</f>
        <v>482000</v>
      </c>
      <c r="S171" s="75">
        <f>F175</f>
        <v>3700</v>
      </c>
      <c r="T171" s="73">
        <f>K159</f>
        <v>15</v>
      </c>
      <c r="U171" s="73">
        <f>K174</f>
        <v>2608000</v>
      </c>
      <c r="V171" s="73">
        <f>K175</f>
        <v>20100</v>
      </c>
    </row>
    <row r="172" spans="2:23" ht="20.25" customHeight="1" x14ac:dyDescent="0.2">
      <c r="B172" s="39" t="s">
        <v>314</v>
      </c>
      <c r="C172" s="53">
        <f>'Calculations &amp; Assumptions'!C51</f>
        <v>0.1</v>
      </c>
      <c r="E172" s="54">
        <f t="shared" ref="E172:N172" si="37">$C172*E170</f>
        <v>22570.575000000001</v>
      </c>
      <c r="F172" s="54">
        <f t="shared" si="37"/>
        <v>41194.604311615818</v>
      </c>
      <c r="G172" s="54">
        <f t="shared" si="37"/>
        <v>74496.117246463284</v>
      </c>
      <c r="H172" s="54">
        <f t="shared" si="37"/>
        <v>104818.43216443239</v>
      </c>
      <c r="I172" s="54">
        <f t="shared" si="37"/>
        <v>133206.05173938983</v>
      </c>
      <c r="J172" s="54">
        <f t="shared" si="37"/>
        <v>160155.04500000001</v>
      </c>
      <c r="K172" s="54">
        <f t="shared" si="37"/>
        <v>222918.20823684373</v>
      </c>
      <c r="L172" s="54">
        <f t="shared" si="37"/>
        <v>280844.63311615819</v>
      </c>
      <c r="M172" s="54">
        <f t="shared" si="37"/>
        <v>335174.49220960459</v>
      </c>
      <c r="N172" s="54">
        <f t="shared" si="37"/>
        <v>386638.23114792467</v>
      </c>
      <c r="Q172" s="73">
        <f>G159</f>
        <v>4</v>
      </c>
      <c r="R172" s="73">
        <f>G174</f>
        <v>872000</v>
      </c>
      <c r="S172" s="75">
        <f>G175</f>
        <v>6700</v>
      </c>
      <c r="T172" s="73">
        <f>L159</f>
        <v>20</v>
      </c>
      <c r="U172" s="73">
        <f>L174</f>
        <v>3286000</v>
      </c>
      <c r="V172" s="73">
        <f>L175</f>
        <v>25300</v>
      </c>
    </row>
    <row r="173" spans="2:23" ht="20.25" customHeight="1" x14ac:dyDescent="0.2">
      <c r="B173" s="39" t="s">
        <v>326</v>
      </c>
      <c r="C173" s="53">
        <f>'Calculations &amp; Assumptions'!C52</f>
        <v>0.02</v>
      </c>
      <c r="E173" s="54">
        <f t="shared" ref="E173:N173" si="38">$C173*E170</f>
        <v>4514.1149999999998</v>
      </c>
      <c r="F173" s="54">
        <f t="shared" si="38"/>
        <v>8238.9208623231643</v>
      </c>
      <c r="G173" s="54">
        <f t="shared" si="38"/>
        <v>14899.223449292656</v>
      </c>
      <c r="H173" s="54">
        <f t="shared" si="38"/>
        <v>20963.686432886479</v>
      </c>
      <c r="I173" s="54">
        <f t="shared" si="38"/>
        <v>26641.210347877965</v>
      </c>
      <c r="J173" s="54">
        <f t="shared" si="38"/>
        <v>32031.008999999998</v>
      </c>
      <c r="K173" s="54">
        <f t="shared" si="38"/>
        <v>44583.641647368742</v>
      </c>
      <c r="L173" s="54">
        <f t="shared" si="38"/>
        <v>56168.926623231637</v>
      </c>
      <c r="M173" s="54">
        <f t="shared" si="38"/>
        <v>67034.898441920916</v>
      </c>
      <c r="N173" s="54">
        <f t="shared" si="38"/>
        <v>77327.646229584934</v>
      </c>
      <c r="Q173" s="73">
        <f>H159</f>
        <v>6</v>
      </c>
      <c r="R173" s="73">
        <f>H174</f>
        <v>1226000</v>
      </c>
      <c r="S173" s="75">
        <f>H175</f>
        <v>9450</v>
      </c>
      <c r="T173" s="73">
        <f>M159</f>
        <v>25</v>
      </c>
      <c r="U173" s="73">
        <f>M174</f>
        <v>3922000</v>
      </c>
      <c r="V173" s="73">
        <f>M175</f>
        <v>30200</v>
      </c>
    </row>
    <row r="174" spans="2:23" ht="20.25" customHeight="1" x14ac:dyDescent="0.2">
      <c r="B174" s="39" t="s">
        <v>331</v>
      </c>
      <c r="C174" s="53" t="s">
        <v>332</v>
      </c>
      <c r="E174" s="55">
        <f>MROUND(SUM(E170:E173),1000)</f>
        <v>264000</v>
      </c>
      <c r="F174" s="55">
        <f t="shared" ref="F174:N174" si="39">MROUND(SUM(F170:F173),1000)</f>
        <v>482000</v>
      </c>
      <c r="G174" s="55">
        <f t="shared" si="39"/>
        <v>872000</v>
      </c>
      <c r="H174" s="55">
        <f t="shared" si="39"/>
        <v>1226000</v>
      </c>
      <c r="I174" s="55">
        <f t="shared" si="39"/>
        <v>1559000</v>
      </c>
      <c r="J174" s="55">
        <f t="shared" si="39"/>
        <v>1874000</v>
      </c>
      <c r="K174" s="55">
        <f t="shared" si="39"/>
        <v>2608000</v>
      </c>
      <c r="L174" s="55">
        <f t="shared" si="39"/>
        <v>3286000</v>
      </c>
      <c r="M174" s="55">
        <f t="shared" si="39"/>
        <v>3922000</v>
      </c>
      <c r="N174" s="55">
        <f t="shared" si="39"/>
        <v>4524000</v>
      </c>
      <c r="Q174" s="73">
        <f>I159</f>
        <v>8</v>
      </c>
      <c r="R174" s="73">
        <f>I174</f>
        <v>1559000</v>
      </c>
      <c r="S174" s="75">
        <f>H175</f>
        <v>9450</v>
      </c>
      <c r="T174" s="73">
        <f>N159</f>
        <v>30</v>
      </c>
      <c r="U174" s="73">
        <f>N174</f>
        <v>4524000</v>
      </c>
      <c r="V174" s="73">
        <f>N175</f>
        <v>34850</v>
      </c>
    </row>
    <row r="175" spans="2:23" ht="20.25" customHeight="1" x14ac:dyDescent="0.2">
      <c r="B175" s="39" t="s">
        <v>331</v>
      </c>
      <c r="C175" s="53" t="s">
        <v>322</v>
      </c>
      <c r="E175" s="55">
        <f>MROUND(E174/$C$2,50)</f>
        <v>2050</v>
      </c>
      <c r="F175" s="55">
        <f t="shared" ref="F175:N175" si="40">MROUND(F174/$C$2,50)</f>
        <v>3700</v>
      </c>
      <c r="G175" s="55">
        <f t="shared" si="40"/>
        <v>6700</v>
      </c>
      <c r="H175" s="55">
        <f t="shared" si="40"/>
        <v>9450</v>
      </c>
      <c r="I175" s="55">
        <f t="shared" si="40"/>
        <v>12000</v>
      </c>
      <c r="J175" s="55">
        <f t="shared" si="40"/>
        <v>14450</v>
      </c>
      <c r="K175" s="55">
        <f t="shared" si="40"/>
        <v>20100</v>
      </c>
      <c r="L175" s="55">
        <f t="shared" si="40"/>
        <v>25300</v>
      </c>
      <c r="M175" s="55">
        <f t="shared" si="40"/>
        <v>30200</v>
      </c>
      <c r="N175" s="55">
        <f t="shared" si="40"/>
        <v>34850</v>
      </c>
    </row>
    <row r="176" spans="2:23" ht="20.25" customHeight="1" x14ac:dyDescent="0.2"/>
    <row r="177" spans="2:23" ht="20.25" customHeight="1" x14ac:dyDescent="0.2"/>
    <row r="178" spans="2:23" ht="20.25" customHeight="1" x14ac:dyDescent="0.2"/>
    <row r="179" spans="2:23" ht="20.25" customHeight="1" x14ac:dyDescent="0.2"/>
    <row r="180" spans="2:23" ht="20.25" customHeight="1" x14ac:dyDescent="0.2"/>
    <row r="181" spans="2:23" ht="20.25" customHeight="1" x14ac:dyDescent="0.2"/>
    <row r="182" spans="2:23" ht="20.25" customHeight="1" x14ac:dyDescent="0.2"/>
    <row r="183" spans="2:23" ht="20.25" customHeight="1" x14ac:dyDescent="0.2"/>
    <row r="184" spans="2:23" ht="20.25" customHeight="1" x14ac:dyDescent="0.2"/>
    <row r="185" spans="2:23" ht="20.25" customHeight="1" x14ac:dyDescent="0.2"/>
    <row r="186" spans="2:23" ht="20.25" customHeight="1" x14ac:dyDescent="0.2"/>
    <row r="187" spans="2:23" ht="20.25" customHeight="1" x14ac:dyDescent="0.2"/>
    <row r="188" spans="2:23" ht="20.25" customHeight="1" x14ac:dyDescent="0.2"/>
    <row r="189" spans="2:23" ht="20.25" customHeight="1" x14ac:dyDescent="0.2"/>
    <row r="190" spans="2:23" ht="20.25" customHeight="1" x14ac:dyDescent="0.2">
      <c r="B190" s="122" t="s">
        <v>343</v>
      </c>
      <c r="C190" s="123"/>
      <c r="D190" s="123"/>
      <c r="E190" s="123"/>
      <c r="F190" s="123"/>
      <c r="G190" s="123"/>
      <c r="H190" s="123"/>
      <c r="I190" s="123"/>
      <c r="J190" s="123"/>
      <c r="K190" s="123"/>
      <c r="L190" s="123"/>
      <c r="M190" s="123"/>
      <c r="N190" s="123"/>
      <c r="O190" s="44"/>
      <c r="P190" s="44"/>
      <c r="Q190" s="44"/>
      <c r="R190" s="44"/>
      <c r="S190" s="44"/>
      <c r="T190" s="44"/>
      <c r="U190" s="44"/>
      <c r="V190" s="44"/>
      <c r="W190" s="45"/>
    </row>
    <row r="192" spans="2:23" ht="20.25" customHeight="1" x14ac:dyDescent="0.2">
      <c r="B192" s="39" t="s">
        <v>341</v>
      </c>
      <c r="C192" s="53" t="s">
        <v>342</v>
      </c>
      <c r="E192" s="56">
        <v>1</v>
      </c>
      <c r="F192" s="56">
        <v>50</v>
      </c>
      <c r="G192" s="56">
        <v>100</v>
      </c>
      <c r="H192" s="56">
        <v>250</v>
      </c>
      <c r="I192" s="56">
        <v>500</v>
      </c>
      <c r="J192" s="56">
        <v>750</v>
      </c>
      <c r="K192" s="56">
        <v>1000</v>
      </c>
      <c r="L192" s="56">
        <v>1500</v>
      </c>
      <c r="M192" s="56">
        <v>2000</v>
      </c>
      <c r="N192" s="56">
        <v>2500</v>
      </c>
      <c r="O192" s="44"/>
      <c r="P192" s="44"/>
      <c r="Q192" s="74" t="s">
        <v>404</v>
      </c>
      <c r="R192" s="74" t="s">
        <v>332</v>
      </c>
      <c r="S192" s="74" t="s">
        <v>322</v>
      </c>
      <c r="T192" s="74" t="s">
        <v>404</v>
      </c>
      <c r="U192" s="74" t="s">
        <v>332</v>
      </c>
      <c r="V192" s="74" t="s">
        <v>322</v>
      </c>
      <c r="W192" s="45"/>
    </row>
    <row r="193" spans="2:23" ht="20.25" customHeight="1" x14ac:dyDescent="0.2">
      <c r="O193" s="44"/>
      <c r="P193" s="44"/>
      <c r="Q193" s="44"/>
      <c r="R193" s="44"/>
      <c r="S193" s="44"/>
      <c r="T193" s="44"/>
      <c r="U193" s="44"/>
      <c r="V193" s="44"/>
      <c r="W193" s="45"/>
    </row>
    <row r="194" spans="2:23" ht="20.25" customHeight="1" x14ac:dyDescent="0.2">
      <c r="E194" s="133" t="s">
        <v>63</v>
      </c>
      <c r="F194" s="134"/>
      <c r="G194" s="134"/>
      <c r="H194" s="134"/>
      <c r="I194" s="134"/>
      <c r="J194" s="134"/>
      <c r="K194" s="134"/>
      <c r="L194" s="134"/>
      <c r="M194" s="134"/>
      <c r="N194" s="135"/>
      <c r="O194" s="44"/>
      <c r="P194" s="44"/>
      <c r="Q194" s="44"/>
      <c r="R194" s="44"/>
      <c r="S194" s="44"/>
      <c r="T194" s="44"/>
      <c r="U194" s="44"/>
      <c r="V194" s="44"/>
      <c r="W194" s="45"/>
    </row>
    <row r="195" spans="2:23" ht="20.25" customHeight="1" x14ac:dyDescent="0.2">
      <c r="B195" s="39" t="s">
        <v>327</v>
      </c>
      <c r="C195" s="53" t="s">
        <v>332</v>
      </c>
      <c r="E195" s="54">
        <f>E192*'Calculations &amp; Assumptions'!$C$152</f>
        <v>15000</v>
      </c>
      <c r="F195" s="54">
        <f>F192*'Calculations &amp; Assumptions'!$C$152</f>
        <v>750000</v>
      </c>
      <c r="G195" s="54">
        <f>G192*'Calculations &amp; Assumptions'!$C$152</f>
        <v>1500000</v>
      </c>
      <c r="H195" s="54">
        <f>H192*'Calculations &amp; Assumptions'!$C$152</f>
        <v>3750000</v>
      </c>
      <c r="I195" s="54">
        <f>I192*'Calculations &amp; Assumptions'!$C$152</f>
        <v>7500000</v>
      </c>
      <c r="J195" s="54">
        <f>J192*'Calculations &amp; Assumptions'!$C$152</f>
        <v>11250000</v>
      </c>
      <c r="K195" s="54">
        <f>K192*'Calculations &amp; Assumptions'!$C$152</f>
        <v>15000000</v>
      </c>
      <c r="L195" s="54">
        <f>L192*'Calculations &amp; Assumptions'!$C$152</f>
        <v>22500000</v>
      </c>
      <c r="M195" s="54">
        <f>M192*'Calculations &amp; Assumptions'!$C$152</f>
        <v>30000000</v>
      </c>
      <c r="N195" s="54">
        <f>N192*'Calculations &amp; Assumptions'!$C$152</f>
        <v>37500000</v>
      </c>
      <c r="Q195" s="73">
        <f>E192</f>
        <v>1</v>
      </c>
      <c r="R195" s="73">
        <f>E199</f>
        <v>17000</v>
      </c>
      <c r="S195" s="75">
        <f>E200</f>
        <v>150</v>
      </c>
      <c r="T195" s="73">
        <f>J192</f>
        <v>750</v>
      </c>
      <c r="U195" s="73">
        <f>J199</f>
        <v>12938000</v>
      </c>
      <c r="V195" s="73">
        <f>J200</f>
        <v>99600</v>
      </c>
    </row>
    <row r="196" spans="2:23" ht="20.25" customHeight="1" x14ac:dyDescent="0.2">
      <c r="B196" s="39" t="s">
        <v>313</v>
      </c>
      <c r="C196" s="53">
        <f>'Calculations &amp; Assumptions'!C158</f>
        <v>0.05</v>
      </c>
      <c r="E196" s="54">
        <f t="shared" ref="E196:N196" si="41">$C196*E195</f>
        <v>750</v>
      </c>
      <c r="F196" s="54">
        <f t="shared" si="41"/>
        <v>37500</v>
      </c>
      <c r="G196" s="54">
        <f t="shared" si="41"/>
        <v>75000</v>
      </c>
      <c r="H196" s="54">
        <f t="shared" si="41"/>
        <v>187500</v>
      </c>
      <c r="I196" s="54">
        <f t="shared" si="41"/>
        <v>375000</v>
      </c>
      <c r="J196" s="54">
        <f t="shared" si="41"/>
        <v>562500</v>
      </c>
      <c r="K196" s="54">
        <f t="shared" si="41"/>
        <v>750000</v>
      </c>
      <c r="L196" s="54">
        <f t="shared" si="41"/>
        <v>1125000</v>
      </c>
      <c r="M196" s="54">
        <f t="shared" si="41"/>
        <v>1500000</v>
      </c>
      <c r="N196" s="54">
        <f t="shared" si="41"/>
        <v>1875000</v>
      </c>
      <c r="Q196" s="73">
        <f>F192</f>
        <v>50</v>
      </c>
      <c r="R196" s="73">
        <f>F199</f>
        <v>863000</v>
      </c>
      <c r="S196" s="75">
        <f>F200</f>
        <v>6650</v>
      </c>
      <c r="T196" s="73">
        <f>K192</f>
        <v>1000</v>
      </c>
      <c r="U196" s="73">
        <f>K199</f>
        <v>17250000</v>
      </c>
      <c r="V196" s="73">
        <f>K200</f>
        <v>132800</v>
      </c>
    </row>
    <row r="197" spans="2:23" ht="20.25" customHeight="1" x14ac:dyDescent="0.2">
      <c r="B197" s="39" t="s">
        <v>314</v>
      </c>
      <c r="C197" s="53">
        <f>'Calculations &amp; Assumptions'!C159</f>
        <v>0.1</v>
      </c>
      <c r="E197" s="54">
        <f t="shared" ref="E197:N197" si="42">$C197*E195</f>
        <v>1500</v>
      </c>
      <c r="F197" s="54">
        <f t="shared" si="42"/>
        <v>75000</v>
      </c>
      <c r="G197" s="54">
        <f t="shared" si="42"/>
        <v>150000</v>
      </c>
      <c r="H197" s="54">
        <f t="shared" si="42"/>
        <v>375000</v>
      </c>
      <c r="I197" s="54">
        <f t="shared" si="42"/>
        <v>750000</v>
      </c>
      <c r="J197" s="54">
        <f t="shared" si="42"/>
        <v>1125000</v>
      </c>
      <c r="K197" s="54">
        <f t="shared" si="42"/>
        <v>1500000</v>
      </c>
      <c r="L197" s="54">
        <f t="shared" si="42"/>
        <v>2250000</v>
      </c>
      <c r="M197" s="54">
        <f t="shared" si="42"/>
        <v>3000000</v>
      </c>
      <c r="N197" s="54">
        <f t="shared" si="42"/>
        <v>3750000</v>
      </c>
      <c r="Q197" s="73">
        <f>G192</f>
        <v>100</v>
      </c>
      <c r="R197" s="73">
        <f>G199</f>
        <v>1725000</v>
      </c>
      <c r="S197" s="75">
        <f>G200</f>
        <v>13300</v>
      </c>
      <c r="T197" s="73">
        <f>L192</f>
        <v>1500</v>
      </c>
      <c r="U197" s="73">
        <f>L199</f>
        <v>25875000</v>
      </c>
      <c r="V197" s="73">
        <f>L200</f>
        <v>199200</v>
      </c>
    </row>
    <row r="198" spans="2:23" ht="20.25" customHeight="1" x14ac:dyDescent="0.2">
      <c r="B198" s="39" t="s">
        <v>326</v>
      </c>
      <c r="C198" s="53">
        <f>'Calculations &amp; Assumptions'!C160</f>
        <v>0</v>
      </c>
      <c r="E198" s="54">
        <f t="shared" ref="E198:N198" si="43">$C198*E195</f>
        <v>0</v>
      </c>
      <c r="F198" s="54">
        <f t="shared" si="43"/>
        <v>0</v>
      </c>
      <c r="G198" s="54">
        <f t="shared" si="43"/>
        <v>0</v>
      </c>
      <c r="H198" s="54">
        <f t="shared" si="43"/>
        <v>0</v>
      </c>
      <c r="I198" s="54">
        <f t="shared" si="43"/>
        <v>0</v>
      </c>
      <c r="J198" s="54">
        <f t="shared" si="43"/>
        <v>0</v>
      </c>
      <c r="K198" s="54">
        <f t="shared" si="43"/>
        <v>0</v>
      </c>
      <c r="L198" s="54">
        <f t="shared" si="43"/>
        <v>0</v>
      </c>
      <c r="M198" s="54">
        <f t="shared" si="43"/>
        <v>0</v>
      </c>
      <c r="N198" s="54">
        <f t="shared" si="43"/>
        <v>0</v>
      </c>
      <c r="Q198" s="73">
        <f>H192</f>
        <v>250</v>
      </c>
      <c r="R198" s="73">
        <f>H199</f>
        <v>4313000</v>
      </c>
      <c r="S198" s="75">
        <f>H200</f>
        <v>33200</v>
      </c>
      <c r="T198" s="73">
        <f>M192</f>
        <v>2000</v>
      </c>
      <c r="U198" s="73">
        <f>M199</f>
        <v>34500000</v>
      </c>
      <c r="V198" s="73">
        <f>M200</f>
        <v>265600</v>
      </c>
    </row>
    <row r="199" spans="2:23" ht="20.25" customHeight="1" x14ac:dyDescent="0.2">
      <c r="B199" s="39" t="s">
        <v>331</v>
      </c>
      <c r="C199" s="53" t="s">
        <v>332</v>
      </c>
      <c r="E199" s="55">
        <f>MROUND(SUM(E195:E198),1000)</f>
        <v>17000</v>
      </c>
      <c r="F199" s="55">
        <f t="shared" ref="F199:N199" si="44">MROUND(SUM(F195:F198),1000)</f>
        <v>863000</v>
      </c>
      <c r="G199" s="55">
        <f t="shared" si="44"/>
        <v>1725000</v>
      </c>
      <c r="H199" s="55">
        <f t="shared" si="44"/>
        <v>4313000</v>
      </c>
      <c r="I199" s="55">
        <f t="shared" si="44"/>
        <v>8625000</v>
      </c>
      <c r="J199" s="55">
        <f t="shared" si="44"/>
        <v>12938000</v>
      </c>
      <c r="K199" s="55">
        <f t="shared" si="44"/>
        <v>17250000</v>
      </c>
      <c r="L199" s="55">
        <f t="shared" si="44"/>
        <v>25875000</v>
      </c>
      <c r="M199" s="55">
        <f t="shared" si="44"/>
        <v>34500000</v>
      </c>
      <c r="N199" s="55">
        <f t="shared" si="44"/>
        <v>43125000</v>
      </c>
      <c r="Q199" s="73">
        <f>I192</f>
        <v>500</v>
      </c>
      <c r="R199" s="73">
        <f>I199</f>
        <v>8625000</v>
      </c>
      <c r="S199" s="75">
        <f>H200</f>
        <v>33200</v>
      </c>
      <c r="T199" s="73">
        <f>N192</f>
        <v>2500</v>
      </c>
      <c r="U199" s="73">
        <f>N199</f>
        <v>43125000</v>
      </c>
      <c r="V199" s="73">
        <f>N200</f>
        <v>332000</v>
      </c>
    </row>
    <row r="200" spans="2:23" ht="20.25" customHeight="1" x14ac:dyDescent="0.2">
      <c r="B200" s="39" t="s">
        <v>331</v>
      </c>
      <c r="C200" s="53" t="s">
        <v>322</v>
      </c>
      <c r="E200" s="55">
        <f>MROUND(E199/$C$2,50)</f>
        <v>150</v>
      </c>
      <c r="F200" s="55">
        <f t="shared" ref="F200:N200" si="45">MROUND(F199/$C$2,50)</f>
        <v>6650</v>
      </c>
      <c r="G200" s="55">
        <f t="shared" si="45"/>
        <v>13300</v>
      </c>
      <c r="H200" s="55">
        <f t="shared" si="45"/>
        <v>33200</v>
      </c>
      <c r="I200" s="55">
        <f t="shared" si="45"/>
        <v>66400</v>
      </c>
      <c r="J200" s="55">
        <f t="shared" si="45"/>
        <v>99600</v>
      </c>
      <c r="K200" s="55">
        <f t="shared" si="45"/>
        <v>132800</v>
      </c>
      <c r="L200" s="55">
        <f t="shared" si="45"/>
        <v>199200</v>
      </c>
      <c r="M200" s="55">
        <f t="shared" si="45"/>
        <v>265600</v>
      </c>
      <c r="N200" s="55">
        <f t="shared" si="45"/>
        <v>332000</v>
      </c>
    </row>
    <row r="201" spans="2:23" ht="20.25" customHeight="1" x14ac:dyDescent="0.2"/>
    <row r="202" spans="2:23" ht="20.25" customHeight="1" x14ac:dyDescent="0.2">
      <c r="E202" s="133" t="s">
        <v>65</v>
      </c>
      <c r="F202" s="134"/>
      <c r="G202" s="134"/>
      <c r="H202" s="134"/>
      <c r="I202" s="134"/>
      <c r="J202" s="134"/>
      <c r="K202" s="134"/>
      <c r="L202" s="134"/>
      <c r="M202" s="134"/>
      <c r="N202" s="135"/>
    </row>
    <row r="203" spans="2:23" ht="20.25" customHeight="1" x14ac:dyDescent="0.2">
      <c r="B203" s="39" t="s">
        <v>327</v>
      </c>
      <c r="C203" s="53" t="s">
        <v>332</v>
      </c>
      <c r="E203" s="54">
        <f>E192*'Calculations &amp; Assumptions'!$C$153</f>
        <v>25000</v>
      </c>
      <c r="F203" s="54">
        <f>F192*'Calculations &amp; Assumptions'!$C$153</f>
        <v>1250000</v>
      </c>
      <c r="G203" s="54">
        <f>G192*'Calculations &amp; Assumptions'!$C$153</f>
        <v>2500000</v>
      </c>
      <c r="H203" s="54">
        <f>H192*'Calculations &amp; Assumptions'!$C$153</f>
        <v>6250000</v>
      </c>
      <c r="I203" s="54">
        <f>I192*'Calculations &amp; Assumptions'!$C$153</f>
        <v>12500000</v>
      </c>
      <c r="J203" s="54">
        <f>J192*'Calculations &amp; Assumptions'!$C$153</f>
        <v>18750000</v>
      </c>
      <c r="K203" s="54">
        <f>K192*'Calculations &amp; Assumptions'!$C$153</f>
        <v>25000000</v>
      </c>
      <c r="L203" s="54">
        <f>L192*'Calculations &amp; Assumptions'!$C$153</f>
        <v>37500000</v>
      </c>
      <c r="M203" s="54">
        <f>M192*'Calculations &amp; Assumptions'!$C$153</f>
        <v>50000000</v>
      </c>
      <c r="N203" s="54">
        <f>N192*'Calculations &amp; Assumptions'!$C$153</f>
        <v>62500000</v>
      </c>
      <c r="Q203" s="73">
        <f>E192</f>
        <v>1</v>
      </c>
      <c r="R203" s="73">
        <f>E207</f>
        <v>29000</v>
      </c>
      <c r="S203" s="75">
        <f>E208</f>
        <v>200</v>
      </c>
      <c r="T203" s="73">
        <f>J192</f>
        <v>750</v>
      </c>
      <c r="U203" s="73">
        <f>J207</f>
        <v>21563000</v>
      </c>
      <c r="V203" s="73">
        <f>J208</f>
        <v>166000</v>
      </c>
    </row>
    <row r="204" spans="2:23" ht="20.25" customHeight="1" x14ac:dyDescent="0.2">
      <c r="B204" s="39" t="s">
        <v>313</v>
      </c>
      <c r="C204" s="53">
        <f>'Calculations &amp; Assumptions'!C158</f>
        <v>0.05</v>
      </c>
      <c r="E204" s="54">
        <f t="shared" ref="E204:N204" si="46">$C204*E203</f>
        <v>1250</v>
      </c>
      <c r="F204" s="54">
        <f t="shared" si="46"/>
        <v>62500</v>
      </c>
      <c r="G204" s="54">
        <f t="shared" si="46"/>
        <v>125000</v>
      </c>
      <c r="H204" s="54">
        <f t="shared" si="46"/>
        <v>312500</v>
      </c>
      <c r="I204" s="54">
        <f t="shared" si="46"/>
        <v>625000</v>
      </c>
      <c r="J204" s="54">
        <f t="shared" si="46"/>
        <v>937500</v>
      </c>
      <c r="K204" s="54">
        <f t="shared" si="46"/>
        <v>1250000</v>
      </c>
      <c r="L204" s="54">
        <f t="shared" si="46"/>
        <v>1875000</v>
      </c>
      <c r="M204" s="54">
        <f t="shared" si="46"/>
        <v>2500000</v>
      </c>
      <c r="N204" s="54">
        <f t="shared" si="46"/>
        <v>3125000</v>
      </c>
      <c r="Q204" s="73">
        <f>F192</f>
        <v>50</v>
      </c>
      <c r="R204" s="73">
        <f>F207</f>
        <v>1438000</v>
      </c>
      <c r="S204" s="75">
        <f>F208</f>
        <v>11050</v>
      </c>
      <c r="T204" s="73">
        <f>K192</f>
        <v>1000</v>
      </c>
      <c r="U204" s="73">
        <f>K207</f>
        <v>28750000</v>
      </c>
      <c r="V204" s="73">
        <f>K208</f>
        <v>221300</v>
      </c>
    </row>
    <row r="205" spans="2:23" ht="20.25" customHeight="1" x14ac:dyDescent="0.2">
      <c r="B205" s="39" t="s">
        <v>314</v>
      </c>
      <c r="C205" s="53">
        <f>'Calculations &amp; Assumptions'!C159</f>
        <v>0.1</v>
      </c>
      <c r="E205" s="54">
        <f t="shared" ref="E205:N205" si="47">$C205*E203</f>
        <v>2500</v>
      </c>
      <c r="F205" s="54">
        <f t="shared" si="47"/>
        <v>125000</v>
      </c>
      <c r="G205" s="54">
        <f t="shared" si="47"/>
        <v>250000</v>
      </c>
      <c r="H205" s="54">
        <f t="shared" si="47"/>
        <v>625000</v>
      </c>
      <c r="I205" s="54">
        <f t="shared" si="47"/>
        <v>1250000</v>
      </c>
      <c r="J205" s="54">
        <f t="shared" si="47"/>
        <v>1875000</v>
      </c>
      <c r="K205" s="54">
        <f t="shared" si="47"/>
        <v>2500000</v>
      </c>
      <c r="L205" s="54">
        <f t="shared" si="47"/>
        <v>3750000</v>
      </c>
      <c r="M205" s="54">
        <f t="shared" si="47"/>
        <v>5000000</v>
      </c>
      <c r="N205" s="54">
        <f t="shared" si="47"/>
        <v>6250000</v>
      </c>
      <c r="Q205" s="73">
        <f>G192</f>
        <v>100</v>
      </c>
      <c r="R205" s="73">
        <f>G207</f>
        <v>2875000</v>
      </c>
      <c r="S205" s="75">
        <f>G208</f>
        <v>22150</v>
      </c>
      <c r="T205" s="73">
        <f>L192</f>
        <v>1500</v>
      </c>
      <c r="U205" s="73">
        <f>L207</f>
        <v>43125000</v>
      </c>
      <c r="V205" s="73">
        <f>L208</f>
        <v>332000</v>
      </c>
    </row>
    <row r="206" spans="2:23" ht="20.25" customHeight="1" x14ac:dyDescent="0.2">
      <c r="B206" s="39" t="s">
        <v>326</v>
      </c>
      <c r="C206" s="53">
        <f>'Calculations &amp; Assumptions'!C160</f>
        <v>0</v>
      </c>
      <c r="E206" s="54">
        <f t="shared" ref="E206:N206" si="48">$C206*E203</f>
        <v>0</v>
      </c>
      <c r="F206" s="54">
        <f t="shared" si="48"/>
        <v>0</v>
      </c>
      <c r="G206" s="54">
        <f t="shared" si="48"/>
        <v>0</v>
      </c>
      <c r="H206" s="54">
        <f t="shared" si="48"/>
        <v>0</v>
      </c>
      <c r="I206" s="54">
        <f t="shared" si="48"/>
        <v>0</v>
      </c>
      <c r="J206" s="54">
        <f t="shared" si="48"/>
        <v>0</v>
      </c>
      <c r="K206" s="54">
        <f t="shared" si="48"/>
        <v>0</v>
      </c>
      <c r="L206" s="54">
        <f t="shared" si="48"/>
        <v>0</v>
      </c>
      <c r="M206" s="54">
        <f t="shared" si="48"/>
        <v>0</v>
      </c>
      <c r="N206" s="54">
        <f t="shared" si="48"/>
        <v>0</v>
      </c>
      <c r="Q206" s="73">
        <f>H192</f>
        <v>250</v>
      </c>
      <c r="R206" s="73">
        <f>H207</f>
        <v>7188000</v>
      </c>
      <c r="S206" s="75">
        <f>H208</f>
        <v>55350</v>
      </c>
      <c r="T206" s="73">
        <f>M192</f>
        <v>2000</v>
      </c>
      <c r="U206" s="73">
        <f>M207</f>
        <v>57500000</v>
      </c>
      <c r="V206" s="73">
        <f>M208</f>
        <v>442650</v>
      </c>
    </row>
    <row r="207" spans="2:23" ht="20.25" customHeight="1" x14ac:dyDescent="0.2">
      <c r="B207" s="39" t="s">
        <v>331</v>
      </c>
      <c r="C207" s="53" t="s">
        <v>332</v>
      </c>
      <c r="E207" s="55">
        <f>MROUND(SUM(E203:E206),1000)</f>
        <v>29000</v>
      </c>
      <c r="F207" s="55">
        <f t="shared" ref="F207:N207" si="49">MROUND(SUM(F203:F206),1000)</f>
        <v>1438000</v>
      </c>
      <c r="G207" s="55">
        <f t="shared" si="49"/>
        <v>2875000</v>
      </c>
      <c r="H207" s="55">
        <f t="shared" si="49"/>
        <v>7188000</v>
      </c>
      <c r="I207" s="55">
        <f t="shared" si="49"/>
        <v>14375000</v>
      </c>
      <c r="J207" s="55">
        <f t="shared" si="49"/>
        <v>21563000</v>
      </c>
      <c r="K207" s="55">
        <f t="shared" si="49"/>
        <v>28750000</v>
      </c>
      <c r="L207" s="55">
        <f t="shared" si="49"/>
        <v>43125000</v>
      </c>
      <c r="M207" s="55">
        <f t="shared" si="49"/>
        <v>57500000</v>
      </c>
      <c r="N207" s="55">
        <f t="shared" si="49"/>
        <v>71875000</v>
      </c>
      <c r="Q207" s="73">
        <f>I192</f>
        <v>500</v>
      </c>
      <c r="R207" s="73">
        <f>I207</f>
        <v>14375000</v>
      </c>
      <c r="S207" s="75">
        <f>H208</f>
        <v>55350</v>
      </c>
      <c r="T207" s="73">
        <f>N192</f>
        <v>2500</v>
      </c>
      <c r="U207" s="73">
        <f>N207</f>
        <v>71875000</v>
      </c>
      <c r="V207" s="73">
        <f>N208</f>
        <v>553300</v>
      </c>
    </row>
    <row r="208" spans="2:23" ht="20.25" customHeight="1" x14ac:dyDescent="0.2">
      <c r="B208" s="39" t="s">
        <v>331</v>
      </c>
      <c r="C208" s="53" t="s">
        <v>322</v>
      </c>
      <c r="E208" s="55">
        <f>MROUND(E207/$C$2,50)</f>
        <v>200</v>
      </c>
      <c r="F208" s="55">
        <f t="shared" ref="F208:N208" si="50">MROUND(F207/$C$2,50)</f>
        <v>11050</v>
      </c>
      <c r="G208" s="55">
        <f t="shared" si="50"/>
        <v>22150</v>
      </c>
      <c r="H208" s="55">
        <f t="shared" si="50"/>
        <v>55350</v>
      </c>
      <c r="I208" s="55">
        <f t="shared" si="50"/>
        <v>110650</v>
      </c>
      <c r="J208" s="55">
        <f t="shared" si="50"/>
        <v>166000</v>
      </c>
      <c r="K208" s="55">
        <f t="shared" si="50"/>
        <v>221300</v>
      </c>
      <c r="L208" s="55">
        <f t="shared" si="50"/>
        <v>332000</v>
      </c>
      <c r="M208" s="55">
        <f t="shared" si="50"/>
        <v>442650</v>
      </c>
      <c r="N208" s="55">
        <f t="shared" si="50"/>
        <v>553300</v>
      </c>
    </row>
    <row r="209" spans="2:22" ht="20.25" customHeight="1" x14ac:dyDescent="0.2"/>
    <row r="210" spans="2:22" ht="20.25" customHeight="1" x14ac:dyDescent="0.2">
      <c r="E210" s="133" t="s">
        <v>71</v>
      </c>
      <c r="F210" s="134"/>
      <c r="G210" s="134"/>
      <c r="H210" s="134"/>
      <c r="I210" s="134"/>
      <c r="J210" s="134"/>
      <c r="K210" s="134"/>
      <c r="L210" s="134"/>
      <c r="M210" s="134"/>
      <c r="N210" s="135"/>
    </row>
    <row r="211" spans="2:22" ht="20.25" customHeight="1" x14ac:dyDescent="0.2">
      <c r="B211" s="39" t="s">
        <v>327</v>
      </c>
      <c r="C211" s="53" t="s">
        <v>332</v>
      </c>
      <c r="E211" s="54">
        <f>E192*'Calculations &amp; Assumptions'!$C$154</f>
        <v>30000</v>
      </c>
      <c r="F211" s="54">
        <f>F192*'Calculations &amp; Assumptions'!$C$154</f>
        <v>1500000</v>
      </c>
      <c r="G211" s="54">
        <f>G192*'Calculations &amp; Assumptions'!$C$154</f>
        <v>3000000</v>
      </c>
      <c r="H211" s="54">
        <f>H192*'Calculations &amp; Assumptions'!$C$154</f>
        <v>7500000</v>
      </c>
      <c r="I211" s="54">
        <f>I192*'Calculations &amp; Assumptions'!$C$154</f>
        <v>15000000</v>
      </c>
      <c r="J211" s="54">
        <f>J192*'Calculations &amp; Assumptions'!$C$154</f>
        <v>22500000</v>
      </c>
      <c r="K211" s="54">
        <f>K192*'Calculations &amp; Assumptions'!$C$154</f>
        <v>30000000</v>
      </c>
      <c r="L211" s="54">
        <f>L192*'Calculations &amp; Assumptions'!$C$154</f>
        <v>45000000</v>
      </c>
      <c r="M211" s="54">
        <f>M192*'Calculations &amp; Assumptions'!$C$154</f>
        <v>60000000</v>
      </c>
      <c r="N211" s="54">
        <f>N192*'Calculations &amp; Assumptions'!$C$154</f>
        <v>75000000</v>
      </c>
      <c r="Q211" s="73">
        <f>E192</f>
        <v>1</v>
      </c>
      <c r="R211" s="73">
        <f>E215</f>
        <v>35000</v>
      </c>
      <c r="S211" s="75">
        <f>E216</f>
        <v>250</v>
      </c>
      <c r="T211" s="73">
        <f>J192</f>
        <v>750</v>
      </c>
      <c r="U211" s="73">
        <f>J215</f>
        <v>25875000</v>
      </c>
      <c r="V211" s="73">
        <f>J216</f>
        <v>199200</v>
      </c>
    </row>
    <row r="212" spans="2:22" ht="20.25" customHeight="1" x14ac:dyDescent="0.2">
      <c r="B212" s="39" t="s">
        <v>313</v>
      </c>
      <c r="C212" s="53">
        <f>'Calculations &amp; Assumptions'!C158</f>
        <v>0.05</v>
      </c>
      <c r="E212" s="54">
        <f t="shared" ref="E212:N212" si="51">$C212*E211</f>
        <v>1500</v>
      </c>
      <c r="F212" s="54">
        <f t="shared" si="51"/>
        <v>75000</v>
      </c>
      <c r="G212" s="54">
        <f t="shared" si="51"/>
        <v>150000</v>
      </c>
      <c r="H212" s="54">
        <f t="shared" si="51"/>
        <v>375000</v>
      </c>
      <c r="I212" s="54">
        <f t="shared" si="51"/>
        <v>750000</v>
      </c>
      <c r="J212" s="54">
        <f t="shared" si="51"/>
        <v>1125000</v>
      </c>
      <c r="K212" s="54">
        <f t="shared" si="51"/>
        <v>1500000</v>
      </c>
      <c r="L212" s="54">
        <f t="shared" si="51"/>
        <v>2250000</v>
      </c>
      <c r="M212" s="54">
        <f t="shared" si="51"/>
        <v>3000000</v>
      </c>
      <c r="N212" s="54">
        <f t="shared" si="51"/>
        <v>3750000</v>
      </c>
      <c r="Q212" s="73">
        <f>F192</f>
        <v>50</v>
      </c>
      <c r="R212" s="73">
        <f>F215</f>
        <v>1725000</v>
      </c>
      <c r="S212" s="75">
        <f>F216</f>
        <v>13300</v>
      </c>
      <c r="T212" s="73">
        <f>K192</f>
        <v>1000</v>
      </c>
      <c r="U212" s="73">
        <f>K215</f>
        <v>34500000</v>
      </c>
      <c r="V212" s="73">
        <f>K216</f>
        <v>265600</v>
      </c>
    </row>
    <row r="213" spans="2:22" ht="20.25" customHeight="1" x14ac:dyDescent="0.2">
      <c r="B213" s="39" t="s">
        <v>314</v>
      </c>
      <c r="C213" s="53">
        <f>'Calculations &amp; Assumptions'!C159</f>
        <v>0.1</v>
      </c>
      <c r="E213" s="54">
        <f t="shared" ref="E213:N213" si="52">$C213*E211</f>
        <v>3000</v>
      </c>
      <c r="F213" s="54">
        <f t="shared" si="52"/>
        <v>150000</v>
      </c>
      <c r="G213" s="54">
        <f t="shared" si="52"/>
        <v>300000</v>
      </c>
      <c r="H213" s="54">
        <f t="shared" si="52"/>
        <v>750000</v>
      </c>
      <c r="I213" s="54">
        <f t="shared" si="52"/>
        <v>1500000</v>
      </c>
      <c r="J213" s="54">
        <f t="shared" si="52"/>
        <v>2250000</v>
      </c>
      <c r="K213" s="54">
        <f t="shared" si="52"/>
        <v>3000000</v>
      </c>
      <c r="L213" s="54">
        <f t="shared" si="52"/>
        <v>4500000</v>
      </c>
      <c r="M213" s="54">
        <f t="shared" si="52"/>
        <v>6000000</v>
      </c>
      <c r="N213" s="54">
        <f t="shared" si="52"/>
        <v>7500000</v>
      </c>
      <c r="Q213" s="73">
        <f>G192</f>
        <v>100</v>
      </c>
      <c r="R213" s="73">
        <f>G215</f>
        <v>3450000</v>
      </c>
      <c r="S213" s="75">
        <f>G216</f>
        <v>26550</v>
      </c>
      <c r="T213" s="73">
        <f>L192</f>
        <v>1500</v>
      </c>
      <c r="U213" s="73">
        <f>L215</f>
        <v>51750000</v>
      </c>
      <c r="V213" s="73">
        <f>L216</f>
        <v>398400</v>
      </c>
    </row>
    <row r="214" spans="2:22" ht="20.25" customHeight="1" x14ac:dyDescent="0.2">
      <c r="B214" s="39" t="s">
        <v>326</v>
      </c>
      <c r="C214" s="53">
        <f>'Calculations &amp; Assumptions'!C160</f>
        <v>0</v>
      </c>
      <c r="E214" s="54">
        <f t="shared" ref="E214:N214" si="53">$C214*E211</f>
        <v>0</v>
      </c>
      <c r="F214" s="54">
        <f t="shared" si="53"/>
        <v>0</v>
      </c>
      <c r="G214" s="54">
        <f t="shared" si="53"/>
        <v>0</v>
      </c>
      <c r="H214" s="54">
        <f t="shared" si="53"/>
        <v>0</v>
      </c>
      <c r="I214" s="54">
        <f t="shared" si="53"/>
        <v>0</v>
      </c>
      <c r="J214" s="54">
        <f t="shared" si="53"/>
        <v>0</v>
      </c>
      <c r="K214" s="54">
        <f t="shared" si="53"/>
        <v>0</v>
      </c>
      <c r="L214" s="54">
        <f t="shared" si="53"/>
        <v>0</v>
      </c>
      <c r="M214" s="54">
        <f t="shared" si="53"/>
        <v>0</v>
      </c>
      <c r="N214" s="54">
        <f t="shared" si="53"/>
        <v>0</v>
      </c>
      <c r="Q214" s="73">
        <f>H192</f>
        <v>250</v>
      </c>
      <c r="R214" s="73">
        <f>H215</f>
        <v>8625000</v>
      </c>
      <c r="S214" s="75">
        <f>H216</f>
        <v>66400</v>
      </c>
      <c r="T214" s="73">
        <f>M192</f>
        <v>2000</v>
      </c>
      <c r="U214" s="73">
        <f>M215</f>
        <v>69000000</v>
      </c>
      <c r="V214" s="73">
        <f>M216</f>
        <v>531200</v>
      </c>
    </row>
    <row r="215" spans="2:22" ht="20.25" customHeight="1" x14ac:dyDescent="0.2">
      <c r="B215" s="39" t="s">
        <v>331</v>
      </c>
      <c r="C215" s="53" t="s">
        <v>332</v>
      </c>
      <c r="E215" s="55">
        <f>MROUND(SUM(E211:E214),1000)</f>
        <v>35000</v>
      </c>
      <c r="F215" s="55">
        <f t="shared" ref="F215:N215" si="54">MROUND(SUM(F211:F214),1000)</f>
        <v>1725000</v>
      </c>
      <c r="G215" s="55">
        <f t="shared" si="54"/>
        <v>3450000</v>
      </c>
      <c r="H215" s="55">
        <f t="shared" si="54"/>
        <v>8625000</v>
      </c>
      <c r="I215" s="55">
        <f t="shared" si="54"/>
        <v>17250000</v>
      </c>
      <c r="J215" s="55">
        <f t="shared" si="54"/>
        <v>25875000</v>
      </c>
      <c r="K215" s="55">
        <f t="shared" si="54"/>
        <v>34500000</v>
      </c>
      <c r="L215" s="55">
        <f t="shared" si="54"/>
        <v>51750000</v>
      </c>
      <c r="M215" s="55">
        <f t="shared" si="54"/>
        <v>69000000</v>
      </c>
      <c r="N215" s="55">
        <f t="shared" si="54"/>
        <v>86250000</v>
      </c>
      <c r="Q215" s="73">
        <f>I192</f>
        <v>500</v>
      </c>
      <c r="R215" s="73">
        <f>I215</f>
        <v>17250000</v>
      </c>
      <c r="S215" s="75">
        <f>H216</f>
        <v>66400</v>
      </c>
      <c r="T215" s="73">
        <f>N192</f>
        <v>2500</v>
      </c>
      <c r="U215" s="73">
        <f>N215</f>
        <v>86250000</v>
      </c>
      <c r="V215" s="73">
        <f>N216</f>
        <v>663950</v>
      </c>
    </row>
    <row r="216" spans="2:22" ht="20.25" customHeight="1" x14ac:dyDescent="0.2">
      <c r="B216" s="39" t="s">
        <v>331</v>
      </c>
      <c r="C216" s="53" t="s">
        <v>322</v>
      </c>
      <c r="E216" s="55">
        <f>MROUND(E215/$C$2,50)</f>
        <v>250</v>
      </c>
      <c r="F216" s="55">
        <f t="shared" ref="F216:N216" si="55">MROUND(F215/$C$2,50)</f>
        <v>13300</v>
      </c>
      <c r="G216" s="55">
        <f t="shared" si="55"/>
        <v>26550</v>
      </c>
      <c r="H216" s="55">
        <f t="shared" si="55"/>
        <v>66400</v>
      </c>
      <c r="I216" s="55">
        <f t="shared" si="55"/>
        <v>132800</v>
      </c>
      <c r="J216" s="55">
        <f t="shared" si="55"/>
        <v>199200</v>
      </c>
      <c r="K216" s="55">
        <f t="shared" si="55"/>
        <v>265600</v>
      </c>
      <c r="L216" s="55">
        <f t="shared" si="55"/>
        <v>398400</v>
      </c>
      <c r="M216" s="55">
        <f t="shared" si="55"/>
        <v>531200</v>
      </c>
      <c r="N216" s="55">
        <f t="shared" si="55"/>
        <v>663950</v>
      </c>
    </row>
    <row r="217" spans="2:22" ht="20.25" customHeight="1" x14ac:dyDescent="0.2"/>
    <row r="218" spans="2:22" ht="20.25" customHeight="1" x14ac:dyDescent="0.2"/>
    <row r="219" spans="2:22" ht="20.25" customHeight="1" x14ac:dyDescent="0.2"/>
    <row r="220" spans="2:22" ht="20.25" customHeight="1" x14ac:dyDescent="0.2"/>
    <row r="221" spans="2:22" ht="20.25" customHeight="1" x14ac:dyDescent="0.2"/>
    <row r="222" spans="2:22" ht="20.25" customHeight="1" x14ac:dyDescent="0.2"/>
    <row r="223" spans="2:22" ht="20.25" customHeight="1" x14ac:dyDescent="0.2"/>
    <row r="224" spans="2:22" ht="20.25" customHeight="1" x14ac:dyDescent="0.2"/>
    <row r="225" ht="20.25" customHeight="1" x14ac:dyDescent="0.2"/>
    <row r="226" ht="20.25" customHeight="1" x14ac:dyDescent="0.2"/>
    <row r="227" ht="20.25" customHeight="1" x14ac:dyDescent="0.2"/>
    <row r="228" ht="20.25" customHeight="1" x14ac:dyDescent="0.2"/>
    <row r="229" ht="20.25" customHeight="1" x14ac:dyDescent="0.2"/>
  </sheetData>
  <mergeCells count="35">
    <mergeCell ref="B17:C17"/>
    <mergeCell ref="B16:C16"/>
    <mergeCell ref="B26:C26"/>
    <mergeCell ref="B25:C25"/>
    <mergeCell ref="B24:C24"/>
    <mergeCell ref="B23:C23"/>
    <mergeCell ref="B22:C22"/>
    <mergeCell ref="B20:C20"/>
    <mergeCell ref="B19:C19"/>
    <mergeCell ref="B30:C30"/>
    <mergeCell ref="B29:C29"/>
    <mergeCell ref="B28:C28"/>
    <mergeCell ref="B27:C27"/>
    <mergeCell ref="B18:C18"/>
    <mergeCell ref="B35:C35"/>
    <mergeCell ref="B34:C34"/>
    <mergeCell ref="B33:C33"/>
    <mergeCell ref="B32:C32"/>
    <mergeCell ref="B31:C31"/>
    <mergeCell ref="B4:N4"/>
    <mergeCell ref="E202:N202"/>
    <mergeCell ref="E210:N210"/>
    <mergeCell ref="B119:N119"/>
    <mergeCell ref="E169:N169"/>
    <mergeCell ref="B38:N38"/>
    <mergeCell ref="B62:N62"/>
    <mergeCell ref="E66:N66"/>
    <mergeCell ref="E74:N74"/>
    <mergeCell ref="B95:N95"/>
    <mergeCell ref="B157:N157"/>
    <mergeCell ref="E161:N161"/>
    <mergeCell ref="B190:N190"/>
    <mergeCell ref="E194:N194"/>
    <mergeCell ref="B21:C21"/>
    <mergeCell ref="B36:C36"/>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A3FF744-C340-4202-857D-4CDB30B647BB}">
          <x14:formula1>
            <xm:f>Lists!$D$3:$D$5</xm:f>
          </x14:formula1>
          <xm:sqref>E122:N122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2D2AC-5CD4-4D38-AA27-FB169BCB8F60}">
  <dimension ref="B3:I21"/>
  <sheetViews>
    <sheetView zoomScale="120" zoomScaleNormal="120" workbookViewId="0">
      <selection activeCell="G19" sqref="G19"/>
    </sheetView>
  </sheetViews>
  <sheetFormatPr baseColWidth="10" defaultColWidth="8.83203125" defaultRowHeight="15" x14ac:dyDescent="0.2"/>
  <cols>
    <col min="2" max="2" width="12.1640625" bestFit="1" customWidth="1"/>
    <col min="3" max="3" width="9" customWidth="1"/>
    <col min="4" max="4" width="23.5" bestFit="1" customWidth="1"/>
    <col min="5" max="5" width="26" customWidth="1"/>
    <col min="6" max="6" width="22.1640625" customWidth="1"/>
    <col min="7" max="7" width="19.6640625" bestFit="1" customWidth="1"/>
    <col min="8" max="8" width="15.6640625" bestFit="1" customWidth="1"/>
    <col min="9" max="9" width="16.5" bestFit="1" customWidth="1"/>
  </cols>
  <sheetData>
    <row r="3" spans="2:9" x14ac:dyDescent="0.2">
      <c r="D3" t="s">
        <v>96</v>
      </c>
      <c r="F3" t="s">
        <v>97</v>
      </c>
      <c r="G3" t="s">
        <v>98</v>
      </c>
      <c r="H3" t="s">
        <v>99</v>
      </c>
      <c r="I3" t="s">
        <v>100</v>
      </c>
    </row>
    <row r="4" spans="2:9" ht="16" thickBot="1" x14ac:dyDescent="0.25">
      <c r="B4" s="4" t="s">
        <v>101</v>
      </c>
      <c r="D4" s="4" t="s">
        <v>54</v>
      </c>
      <c r="E4" s="4" t="s">
        <v>51</v>
      </c>
      <c r="F4" s="5" t="s">
        <v>48</v>
      </c>
      <c r="G4" s="5" t="s">
        <v>102</v>
      </c>
      <c r="H4" s="5" t="s">
        <v>41</v>
      </c>
      <c r="I4" s="5" t="s">
        <v>56</v>
      </c>
    </row>
    <row r="5" spans="2:9" ht="16" thickBot="1" x14ac:dyDescent="0.25">
      <c r="B5" s="1" t="s">
        <v>54</v>
      </c>
      <c r="D5" s="18" t="s">
        <v>55</v>
      </c>
      <c r="E5" s="18" t="s">
        <v>52</v>
      </c>
      <c r="F5" s="1" t="s">
        <v>103</v>
      </c>
      <c r="G5" s="1" t="s">
        <v>104</v>
      </c>
      <c r="H5" s="1" t="s">
        <v>42</v>
      </c>
      <c r="I5" s="1" t="s">
        <v>57</v>
      </c>
    </row>
    <row r="6" spans="2:9" ht="16" thickBot="1" x14ac:dyDescent="0.25">
      <c r="B6" s="1" t="s">
        <v>48</v>
      </c>
      <c r="D6" s="3" t="s">
        <v>105</v>
      </c>
      <c r="E6" s="18" t="s">
        <v>58</v>
      </c>
      <c r="F6" s="1" t="s">
        <v>106</v>
      </c>
      <c r="G6" s="1" t="s">
        <v>107</v>
      </c>
      <c r="H6" s="19" t="s">
        <v>47</v>
      </c>
      <c r="I6" s="1" t="s">
        <v>64</v>
      </c>
    </row>
    <row r="7" spans="2:9" ht="16" thickBot="1" x14ac:dyDescent="0.25">
      <c r="B7" s="1" t="s">
        <v>102</v>
      </c>
      <c r="D7" s="18" t="s">
        <v>108</v>
      </c>
      <c r="E7" s="18" t="s">
        <v>109</v>
      </c>
      <c r="F7" s="1" t="s">
        <v>50</v>
      </c>
      <c r="G7" s="1" t="s">
        <v>110</v>
      </c>
      <c r="H7" s="19" t="s">
        <v>55</v>
      </c>
      <c r="I7" s="1" t="s">
        <v>70</v>
      </c>
    </row>
    <row r="8" spans="2:9" ht="16" thickBot="1" x14ac:dyDescent="0.25">
      <c r="B8" s="1" t="s">
        <v>41</v>
      </c>
      <c r="D8" s="3" t="s">
        <v>111</v>
      </c>
      <c r="E8" s="18" t="s">
        <v>81</v>
      </c>
      <c r="F8" s="1" t="s">
        <v>49</v>
      </c>
      <c r="G8" s="1" t="s">
        <v>112</v>
      </c>
      <c r="H8" s="19" t="s">
        <v>108</v>
      </c>
      <c r="I8" s="1"/>
    </row>
    <row r="9" spans="2:9" ht="16" thickBot="1" x14ac:dyDescent="0.25">
      <c r="B9" s="1" t="s">
        <v>56</v>
      </c>
      <c r="D9" s="18" t="s">
        <v>47</v>
      </c>
      <c r="E9" s="18" t="s">
        <v>113</v>
      </c>
      <c r="F9" s="19" t="s">
        <v>49</v>
      </c>
      <c r="G9" s="1" t="s">
        <v>114</v>
      </c>
      <c r="H9" s="1"/>
      <c r="I9" s="1"/>
    </row>
    <row r="10" spans="2:9" ht="16" thickBot="1" x14ac:dyDescent="0.25">
      <c r="B10" s="15" t="s">
        <v>51</v>
      </c>
      <c r="D10" s="3"/>
      <c r="E10" s="18" t="s">
        <v>91</v>
      </c>
      <c r="F10" s="1" t="s">
        <v>75</v>
      </c>
      <c r="G10" s="1" t="s">
        <v>115</v>
      </c>
      <c r="H10" s="1"/>
      <c r="I10" s="1"/>
    </row>
    <row r="11" spans="2:9" ht="16" thickBot="1" x14ac:dyDescent="0.25">
      <c r="D11" s="3"/>
      <c r="E11" s="18" t="s">
        <v>116</v>
      </c>
      <c r="F11" s="1"/>
      <c r="G11" s="1" t="s">
        <v>117</v>
      </c>
      <c r="H11" s="1"/>
      <c r="I11" s="1"/>
    </row>
    <row r="12" spans="2:9" ht="16" thickBot="1" x14ac:dyDescent="0.25">
      <c r="D12" s="3"/>
      <c r="E12" s="18" t="s">
        <v>92</v>
      </c>
      <c r="F12" s="1"/>
      <c r="G12" s="1"/>
      <c r="H12" s="1"/>
      <c r="I12" s="1"/>
    </row>
    <row r="13" spans="2:9" ht="16" thickBot="1" x14ac:dyDescent="0.25">
      <c r="D13" s="3"/>
      <c r="E13" s="3"/>
      <c r="F13" s="1"/>
      <c r="G13" s="1"/>
      <c r="H13" s="1"/>
      <c r="I13" s="1"/>
    </row>
    <row r="14" spans="2:9" ht="16" thickBot="1" x14ac:dyDescent="0.25">
      <c r="D14" s="3"/>
      <c r="E14" s="3"/>
      <c r="F14" s="1"/>
      <c r="G14" s="1"/>
      <c r="H14" s="1"/>
      <c r="I14" s="1"/>
    </row>
    <row r="15" spans="2:9" ht="16" thickBot="1" x14ac:dyDescent="0.25">
      <c r="D15" s="3"/>
      <c r="E15" s="3"/>
      <c r="F15" s="1"/>
      <c r="G15" s="1"/>
      <c r="H15" s="1"/>
    </row>
    <row r="19" spans="3:5" x14ac:dyDescent="0.2">
      <c r="C19" t="s">
        <v>118</v>
      </c>
      <c r="D19" s="20">
        <v>1</v>
      </c>
      <c r="E19" s="21">
        <v>1.6007499999999999</v>
      </c>
    </row>
    <row r="20" spans="3:5" x14ac:dyDescent="0.2">
      <c r="C20" t="s">
        <v>119</v>
      </c>
      <c r="D20" s="20">
        <v>1</v>
      </c>
      <c r="E20" s="21">
        <v>0.89</v>
      </c>
    </row>
    <row r="21" spans="3:5" x14ac:dyDescent="0.2">
      <c r="C21" t="s">
        <v>120</v>
      </c>
      <c r="D21" s="20">
        <v>1</v>
      </c>
      <c r="E21" s="21">
        <v>127.28</v>
      </c>
    </row>
  </sheetData>
  <pageMargins left="0.7" right="0.7" top="0.75" bottom="0.75" header="0.3" footer="0.3"/>
  <pageSetup paperSize="9" orientation="portrait" r:id="rId1"/>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K23"/>
  <sheetViews>
    <sheetView showGridLines="0" zoomScaleNormal="100" workbookViewId="0"/>
  </sheetViews>
  <sheetFormatPr baseColWidth="10" defaultColWidth="8.83203125" defaultRowHeight="15" thickBottom="1" x14ac:dyDescent="0.25"/>
  <cols>
    <col min="1" max="1" width="8.83203125" style="63"/>
    <col min="2" max="2" width="72.6640625" style="63" customWidth="1"/>
    <col min="3" max="11" width="8.6640625" style="63" customWidth="1"/>
    <col min="12" max="12" width="8.83203125" style="63"/>
    <col min="13" max="13" width="29.33203125" style="63" customWidth="1"/>
    <col min="14" max="16384" width="8.83203125" style="63"/>
  </cols>
  <sheetData>
    <row r="3" spans="2:11" ht="9.75" customHeight="1" thickBot="1" x14ac:dyDescent="0.25"/>
    <row r="4" spans="2:11" ht="93.75" customHeight="1" thickBot="1" x14ac:dyDescent="0.25">
      <c r="B4" s="64" t="s">
        <v>402</v>
      </c>
      <c r="C4" s="68" t="s">
        <v>121</v>
      </c>
      <c r="D4" s="68" t="s">
        <v>122</v>
      </c>
      <c r="E4" s="68" t="s">
        <v>123</v>
      </c>
      <c r="F4" s="68" t="s">
        <v>124</v>
      </c>
      <c r="G4" s="68" t="s">
        <v>125</v>
      </c>
      <c r="H4" s="68" t="s">
        <v>94</v>
      </c>
      <c r="I4" s="68" t="s">
        <v>126</v>
      </c>
      <c r="J4" s="68" t="s">
        <v>609</v>
      </c>
      <c r="K4" s="68" t="s">
        <v>128</v>
      </c>
    </row>
    <row r="5" spans="2:11" ht="30" customHeight="1" thickBot="1" x14ac:dyDescent="0.25">
      <c r="B5" s="138" t="s">
        <v>388</v>
      </c>
      <c r="C5" s="139"/>
      <c r="D5" s="139"/>
      <c r="E5" s="139"/>
      <c r="F5" s="139"/>
      <c r="G5" s="139"/>
      <c r="H5" s="139"/>
      <c r="I5" s="139"/>
      <c r="J5" s="139"/>
      <c r="K5" s="140"/>
    </row>
    <row r="6" spans="2:11" ht="30" customHeight="1" thickBot="1" x14ac:dyDescent="0.25">
      <c r="B6" s="65" t="s">
        <v>130</v>
      </c>
      <c r="C6" s="66"/>
      <c r="D6" s="66"/>
      <c r="E6" s="66"/>
      <c r="F6" s="67"/>
      <c r="G6" s="67"/>
      <c r="H6" s="66"/>
      <c r="I6" s="67"/>
      <c r="J6" s="67"/>
      <c r="K6" s="66"/>
    </row>
    <row r="7" spans="2:11" ht="30" customHeight="1" thickBot="1" x14ac:dyDescent="0.25">
      <c r="B7" s="138" t="s">
        <v>385</v>
      </c>
      <c r="C7" s="139"/>
      <c r="D7" s="139"/>
      <c r="E7" s="139"/>
      <c r="F7" s="139"/>
      <c r="G7" s="139"/>
      <c r="H7" s="139"/>
      <c r="I7" s="139"/>
      <c r="J7" s="139"/>
      <c r="K7" s="140"/>
    </row>
    <row r="8" spans="2:11" ht="30" customHeight="1" thickBot="1" x14ac:dyDescent="0.25">
      <c r="B8" s="65" t="s">
        <v>615</v>
      </c>
      <c r="C8" s="66"/>
      <c r="D8" s="66"/>
      <c r="E8" s="66"/>
      <c r="F8" s="66"/>
      <c r="G8" s="67"/>
      <c r="H8" s="67"/>
      <c r="I8" s="67"/>
      <c r="J8" s="67"/>
      <c r="K8" s="66"/>
    </row>
    <row r="9" spans="2:11" ht="30" customHeight="1" thickBot="1" x14ac:dyDescent="0.25">
      <c r="B9" s="65" t="s">
        <v>616</v>
      </c>
      <c r="C9" s="66"/>
      <c r="D9" s="66"/>
      <c r="E9" s="66"/>
      <c r="F9" s="66"/>
      <c r="G9" s="66"/>
      <c r="H9" s="66"/>
      <c r="I9" s="67"/>
      <c r="J9" s="66"/>
      <c r="K9" s="66"/>
    </row>
    <row r="10" spans="2:11" ht="30" customHeight="1" thickBot="1" x14ac:dyDescent="0.25">
      <c r="B10" s="138" t="s">
        <v>396</v>
      </c>
      <c r="C10" s="139"/>
      <c r="D10" s="139"/>
      <c r="E10" s="139"/>
      <c r="F10" s="139"/>
      <c r="G10" s="139"/>
      <c r="H10" s="139"/>
      <c r="I10" s="139"/>
      <c r="J10" s="139"/>
      <c r="K10" s="140"/>
    </row>
    <row r="11" spans="2:11" ht="30" customHeight="1" thickBot="1" x14ac:dyDescent="0.25">
      <c r="B11" s="65" t="s">
        <v>395</v>
      </c>
      <c r="C11" s="66"/>
      <c r="D11" s="66"/>
      <c r="E11" s="66"/>
      <c r="F11" s="66"/>
      <c r="G11" s="66"/>
      <c r="H11" s="66"/>
      <c r="I11" s="67"/>
      <c r="J11" s="66"/>
      <c r="K11" s="66"/>
    </row>
    <row r="12" spans="2:11" ht="30" customHeight="1" thickBot="1" x14ac:dyDescent="0.25">
      <c r="B12" s="65" t="s">
        <v>397</v>
      </c>
      <c r="C12" s="66"/>
      <c r="D12" s="66"/>
      <c r="E12" s="66"/>
      <c r="F12" s="66"/>
      <c r="G12" s="66"/>
      <c r="H12" s="66"/>
      <c r="I12" s="67"/>
      <c r="J12" s="66"/>
      <c r="K12" s="66"/>
    </row>
    <row r="13" spans="2:11" ht="30" customHeight="1" thickBot="1" x14ac:dyDescent="0.25">
      <c r="B13" s="138" t="s">
        <v>389</v>
      </c>
      <c r="C13" s="139"/>
      <c r="D13" s="139"/>
      <c r="E13" s="139"/>
      <c r="F13" s="139"/>
      <c r="G13" s="139"/>
      <c r="H13" s="139"/>
      <c r="I13" s="139"/>
      <c r="J13" s="139"/>
      <c r="K13" s="140"/>
    </row>
    <row r="14" spans="2:11" ht="30" customHeight="1" thickBot="1" x14ac:dyDescent="0.25">
      <c r="B14" s="65" t="s">
        <v>611</v>
      </c>
      <c r="C14" s="66"/>
      <c r="D14" s="66"/>
      <c r="E14" s="66"/>
      <c r="F14" s="66"/>
      <c r="G14" s="66"/>
      <c r="H14" s="66"/>
      <c r="I14" s="66"/>
      <c r="J14" s="66"/>
      <c r="K14" s="66"/>
    </row>
    <row r="15" spans="2:11" ht="30" customHeight="1" thickBot="1" x14ac:dyDescent="0.25">
      <c r="B15" s="65" t="s">
        <v>610</v>
      </c>
      <c r="C15" s="66"/>
      <c r="D15" s="66"/>
      <c r="E15" s="66"/>
      <c r="F15" s="66"/>
      <c r="G15" s="66"/>
      <c r="H15" s="66"/>
      <c r="I15" s="66"/>
      <c r="J15" s="66"/>
      <c r="K15" s="66"/>
    </row>
    <row r="16" spans="2:11" ht="30" customHeight="1" thickBot="1" x14ac:dyDescent="0.25">
      <c r="B16" s="65" t="s">
        <v>612</v>
      </c>
      <c r="C16" s="66"/>
      <c r="D16" s="66"/>
      <c r="E16" s="66"/>
      <c r="F16" s="66"/>
      <c r="G16" s="66"/>
      <c r="H16" s="66"/>
      <c r="I16" s="66"/>
      <c r="J16" s="66"/>
      <c r="K16" s="66"/>
    </row>
    <row r="17" spans="2:11" ht="30" customHeight="1" thickBot="1" x14ac:dyDescent="0.25">
      <c r="B17" s="138" t="s">
        <v>390</v>
      </c>
      <c r="C17" s="139"/>
      <c r="D17" s="139"/>
      <c r="E17" s="139"/>
      <c r="F17" s="139"/>
      <c r="G17" s="139"/>
      <c r="H17" s="139"/>
      <c r="I17" s="139"/>
      <c r="J17" s="139"/>
      <c r="K17" s="140"/>
    </row>
    <row r="18" spans="2:11" ht="30" customHeight="1" thickBot="1" x14ac:dyDescent="0.25">
      <c r="B18" s="65" t="s">
        <v>613</v>
      </c>
      <c r="C18" s="66"/>
      <c r="D18" s="66"/>
      <c r="E18" s="66"/>
      <c r="F18" s="66"/>
      <c r="G18" s="67"/>
      <c r="H18" s="67"/>
      <c r="I18" s="67"/>
      <c r="J18" s="67"/>
      <c r="K18" s="66"/>
    </row>
    <row r="19" spans="2:11" ht="30" customHeight="1" thickBot="1" x14ac:dyDescent="0.25">
      <c r="B19" s="65" t="s">
        <v>614</v>
      </c>
      <c r="C19" s="66"/>
      <c r="D19" s="66"/>
      <c r="E19" s="66"/>
      <c r="F19" s="66"/>
      <c r="G19" s="66"/>
      <c r="H19" s="66"/>
      <c r="I19" s="67"/>
      <c r="J19" s="67"/>
      <c r="K19" s="66"/>
    </row>
    <row r="20" spans="2:11" ht="30" customHeight="1" thickBot="1" x14ac:dyDescent="0.25">
      <c r="B20" s="138" t="s">
        <v>391</v>
      </c>
      <c r="C20" s="139"/>
      <c r="D20" s="139"/>
      <c r="E20" s="139"/>
      <c r="F20" s="139"/>
      <c r="G20" s="139"/>
      <c r="H20" s="139"/>
      <c r="I20" s="139"/>
      <c r="J20" s="139"/>
      <c r="K20" s="140"/>
    </row>
    <row r="21" spans="2:11" ht="30" customHeight="1" thickBot="1" x14ac:dyDescent="0.25">
      <c r="B21" s="65" t="s">
        <v>392</v>
      </c>
      <c r="C21" s="66"/>
      <c r="D21" s="66"/>
      <c r="E21" s="66"/>
      <c r="F21" s="67"/>
      <c r="G21" s="67"/>
      <c r="H21" s="66"/>
      <c r="I21" s="67"/>
      <c r="J21" s="67"/>
      <c r="K21" s="66"/>
    </row>
    <row r="22" spans="2:11" ht="30" customHeight="1" thickBot="1" x14ac:dyDescent="0.25">
      <c r="B22" s="65" t="s">
        <v>393</v>
      </c>
      <c r="C22" s="66"/>
      <c r="D22" s="66"/>
      <c r="E22" s="66"/>
      <c r="F22" s="67"/>
      <c r="G22" s="67"/>
      <c r="H22" s="66"/>
      <c r="I22" s="67"/>
      <c r="J22" s="67"/>
      <c r="K22" s="66"/>
    </row>
    <row r="23" spans="2:11" ht="30" customHeight="1" thickBot="1" x14ac:dyDescent="0.25">
      <c r="B23" s="65" t="s">
        <v>394</v>
      </c>
      <c r="C23" s="66"/>
      <c r="D23" s="66"/>
      <c r="E23" s="66"/>
      <c r="F23" s="67"/>
      <c r="G23" s="67"/>
      <c r="H23" s="66"/>
      <c r="I23" s="67"/>
      <c r="J23" s="67"/>
      <c r="K23" s="66"/>
    </row>
  </sheetData>
  <mergeCells count="6">
    <mergeCell ref="B20:K20"/>
    <mergeCell ref="B10:K10"/>
    <mergeCell ref="B5:K5"/>
    <mergeCell ref="B7:K7"/>
    <mergeCell ref="B13:K13"/>
    <mergeCell ref="B17:K17"/>
  </mergeCells>
  <phoneticPr fontId="3"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19045-8FFF-467B-9DC1-8B0C25A213A7}">
  <dimension ref="J6:L23"/>
  <sheetViews>
    <sheetView showGridLines="0" zoomScale="115" zoomScaleNormal="115" workbookViewId="0">
      <selection activeCell="N13" sqref="N13"/>
    </sheetView>
  </sheetViews>
  <sheetFormatPr baseColWidth="10" defaultColWidth="8.83203125" defaultRowHeight="15" x14ac:dyDescent="0.2"/>
  <cols>
    <col min="10" max="10" width="18.33203125" bestFit="1" customWidth="1"/>
    <col min="11" max="11" width="18.5" bestFit="1" customWidth="1"/>
    <col min="12" max="12" width="18.1640625" customWidth="1"/>
  </cols>
  <sheetData>
    <row r="6" spans="10:12" x14ac:dyDescent="0.2">
      <c r="J6" s="69" t="s">
        <v>131</v>
      </c>
      <c r="K6" s="69" t="s">
        <v>132</v>
      </c>
      <c r="L6" s="69" t="s">
        <v>133</v>
      </c>
    </row>
    <row r="7" spans="10:12" x14ac:dyDescent="0.2">
      <c r="J7" s="70" t="s">
        <v>125</v>
      </c>
      <c r="K7" s="71"/>
      <c r="L7" s="72"/>
    </row>
    <row r="8" spans="10:12" x14ac:dyDescent="0.2">
      <c r="J8" s="70" t="s">
        <v>126</v>
      </c>
      <c r="K8" s="72"/>
      <c r="L8" s="71"/>
    </row>
    <row r="9" spans="10:12" ht="20.5" customHeight="1" x14ac:dyDescent="0.2">
      <c r="J9" s="70" t="s">
        <v>94</v>
      </c>
      <c r="K9" s="71"/>
      <c r="L9" s="72"/>
    </row>
    <row r="10" spans="10:12" x14ac:dyDescent="0.2">
      <c r="J10" s="70" t="s">
        <v>134</v>
      </c>
      <c r="K10" s="71"/>
      <c r="L10" s="72"/>
    </row>
    <row r="11" spans="10:12" x14ac:dyDescent="0.2">
      <c r="J11" s="70" t="s">
        <v>135</v>
      </c>
      <c r="K11" s="72"/>
      <c r="L11" s="71"/>
    </row>
    <row r="12" spans="10:12" x14ac:dyDescent="0.2">
      <c r="J12" s="70" t="s">
        <v>136</v>
      </c>
      <c r="K12" s="72"/>
      <c r="L12" s="71"/>
    </row>
    <row r="13" spans="10:12" ht="18.75" customHeight="1" x14ac:dyDescent="0.2">
      <c r="J13" s="70" t="s">
        <v>137</v>
      </c>
      <c r="K13" s="72"/>
      <c r="L13" s="71"/>
    </row>
    <row r="14" spans="10:12" ht="18.75" customHeight="1" x14ac:dyDescent="0.2">
      <c r="J14" s="70" t="s">
        <v>122</v>
      </c>
      <c r="K14" s="71"/>
      <c r="L14" s="72"/>
    </row>
    <row r="15" spans="10:12" x14ac:dyDescent="0.2">
      <c r="J15" s="70" t="s">
        <v>138</v>
      </c>
      <c r="K15" s="71"/>
      <c r="L15" s="71"/>
    </row>
    <row r="16" spans="10:12" x14ac:dyDescent="0.2">
      <c r="J16" s="70" t="s">
        <v>139</v>
      </c>
      <c r="K16" s="71"/>
      <c r="L16" s="72"/>
    </row>
    <row r="17" spans="10:12" x14ac:dyDescent="0.2">
      <c r="J17" s="70" t="s">
        <v>140</v>
      </c>
      <c r="K17" s="71"/>
      <c r="L17" s="72"/>
    </row>
    <row r="18" spans="10:12" x14ac:dyDescent="0.2">
      <c r="J18" s="70" t="s">
        <v>124</v>
      </c>
      <c r="K18" s="71"/>
      <c r="L18" s="72"/>
    </row>
    <row r="19" spans="10:12" x14ac:dyDescent="0.2">
      <c r="J19" s="70" t="s">
        <v>121</v>
      </c>
      <c r="K19" s="71"/>
      <c r="L19" s="72"/>
    </row>
    <row r="20" spans="10:12" x14ac:dyDescent="0.2">
      <c r="J20" s="70" t="s">
        <v>141</v>
      </c>
      <c r="K20" s="72"/>
      <c r="L20" s="71"/>
    </row>
    <row r="23" spans="10:12" ht="16" x14ac:dyDescent="0.2">
      <c r="J23" s="1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45339-F007-4871-868B-9BC3B5D17676}">
  <dimension ref="B2:D5"/>
  <sheetViews>
    <sheetView workbookViewId="0">
      <selection activeCell="F38" sqref="F38"/>
    </sheetView>
  </sheetViews>
  <sheetFormatPr baseColWidth="10" defaultColWidth="8.83203125" defaultRowHeight="14" x14ac:dyDescent="0.2"/>
  <cols>
    <col min="1" max="1" width="8.83203125" style="33"/>
    <col min="2" max="2" width="19.5" style="33" bestFit="1" customWidth="1"/>
    <col min="3" max="3" width="8.83203125" style="33"/>
    <col min="4" max="4" width="23.83203125" style="33" customWidth="1"/>
    <col min="5" max="16384" width="8.83203125" style="33"/>
  </cols>
  <sheetData>
    <row r="2" spans="2:4" x14ac:dyDescent="0.2">
      <c r="B2" s="35" t="s">
        <v>292</v>
      </c>
      <c r="D2" s="35" t="s">
        <v>357</v>
      </c>
    </row>
    <row r="3" spans="2:4" x14ac:dyDescent="0.2">
      <c r="B3" s="34" t="s">
        <v>291</v>
      </c>
      <c r="D3" s="34" t="s">
        <v>358</v>
      </c>
    </row>
    <row r="4" spans="2:4" x14ac:dyDescent="0.2">
      <c r="B4" s="36" t="s">
        <v>356</v>
      </c>
      <c r="D4" s="36" t="s">
        <v>359</v>
      </c>
    </row>
    <row r="5" spans="2:4" x14ac:dyDescent="0.2">
      <c r="D5" s="36" t="s">
        <v>360</v>
      </c>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Y D A A B Q S w M E F A A C A A g A A 4 Y 8 V Q 9 W H E + m A A A A 9 g A A A B I A H A B D b 2 5 m a W c v U G F j a 2 F n Z S 5 4 b W w g o h g A K K A U A A A A A A A A A A A A A A A A A A A A A A A A A A A A h Y + x D o I w G I R f h X S n L Z g Y J D 9 l U D d J T E y M a 1 N q a Y R i a L G 8 m 4 O P 5 C u I U d T N 8 e 6 + S + 7 u 1 x v k Q 1 M H F 9 l Z 3 Z o M R Z i i Q B r R l t q o D P X u G C Y o Z 7 D l 4 s S V D E b Y 2 H S w O k O V c + e U E O 8 9 9 j P c d o r E l E b k U G x 2 o p I N D 7 W x j h s h 0 a d V / m 8 h B v v X G B b j i C Z 4 k c w x B T K Z U G j z B e J x 7 z P 9 M W H Z 1 6 7 v J C t l u F o D m S S Q 9 w f 2 A F B L A w Q U A A I A C A A D h j x 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A 4 Y 8 V S i K R 7 g O A A A A E Q A A A B M A H A B G b 3 J t d W x h c y 9 T Z W N 0 a W 9 u M S 5 t I K I Y A C i g F A A A A A A A A A A A A A A A A A A A A A A A A A A A A C t O T S 7 J z M 9 T C I b Q h t Y A U E s B A i 0 A F A A C A A g A A 4 Y 8 V Q 9 W H E + m A A A A 9 g A A A B I A A A A A A A A A A A A A A A A A A A A A A E N v b m Z p Z y 9 Q Y W N r Y W d l L n h t b F B L A Q I t A B Q A A g A I A A O G P F U P y u m r p A A A A O k A A A A T A A A A A A A A A A A A A A A A A P I A A A B b Q 2 9 u d G V u d F 9 U e X B l c 1 0 u e G 1 s U E s B A i 0 A F A A C A A g A A 4 Y 8 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b k C u 5 I q m 1 M r E u B 1 + c u y E 8 A A A A A A g A A A A A A E G Y A A A A B A A A g A A A A M G t Y m L + / 1 I d 8 9 p k E W v J O c s 0 g 1 b L + c j i S 1 M 2 / Z E 1 X / f A A A A A A D o A A A A A C A A A g A A A A K Z 6 a I 6 d / 8 W s e C H S p k M 3 u i Q O B P 1 t i b 5 k v L 3 L q n s L 5 7 c p Q A A A A H j y R G L W A E + m 5 J Z w u G H a i R 5 9 x T l A P H 4 G x m u b V k x 5 N / o D t U z f I Q e U H 5 i I y v R N + 7 D n p j a w 2 d O b X e X X + 6 o c + x z P a X X Q y T v q C g 8 R D X i / i D / S x b Y p A A A A A Q L o V T i O E R 3 t T r R g e 3 y 2 m U d 1 D t 2 O l W D R r L A q 5 K v A h / 2 Z K A 2 p F / b v W X o R 5 + m 5 Z I W p O 4 o 0 3 P U 9 K O G + t G o I F r V C R h Q = = < / D a t a M a s h u p > 
</file>

<file path=customXml/item2.xml><?xml version="1.0" encoding="utf-8"?>
<ct:contentTypeSchema xmlns:ct="http://schemas.microsoft.com/office/2006/metadata/contentType" xmlns:ma="http://schemas.microsoft.com/office/2006/metadata/properties/metaAttributes" ct:_="" ma:_="" ma:contentTypeName="Document" ma:contentTypeID="0x0101009EF06B06D17ADD45BC48B4C0B7D76816" ma:contentTypeVersion="16" ma:contentTypeDescription="Create a new document." ma:contentTypeScope="" ma:versionID="4354b8776faee5db26afba416f330bed">
  <xsd:schema xmlns:xsd="http://www.w3.org/2001/XMLSchema" xmlns:xs="http://www.w3.org/2001/XMLSchema" xmlns:p="http://schemas.microsoft.com/office/2006/metadata/properties" xmlns:ns2="69c60461-25ce-4eb9-9cab-7f7092488520" xmlns:ns3="6b16e606-b534-4731-97fc-80d7caba92cb" targetNamespace="http://schemas.microsoft.com/office/2006/metadata/properties" ma:root="true" ma:fieldsID="bf9d95a2cc6e85c8272e7978ec21b80c" ns2:_="" ns3:_="">
    <xsd:import namespace="69c60461-25ce-4eb9-9cab-7f7092488520"/>
    <xsd:import namespace="6b16e606-b534-4731-97fc-80d7caba92c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c60461-25ce-4eb9-9cab-7f70924885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a885938-e8b6-4ee9-9e6f-98c32c3fb0b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b16e606-b534-4731-97fc-80d7caba92c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e9f1b01a-df8a-4f59-9455-ecc5efea3a40}" ma:internalName="TaxCatchAll" ma:showField="CatchAllData" ma:web="6b16e606-b534-4731-97fc-80d7caba92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b16e606-b534-4731-97fc-80d7caba92cb" xsi:nil="true"/>
    <lcf76f155ced4ddcb4097134ff3c332f xmlns="69c60461-25ce-4eb9-9cab-7f7092488520">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8F5082-7223-4E02-9A85-7821168B080B}">
  <ds:schemaRefs>
    <ds:schemaRef ds:uri="http://schemas.microsoft.com/DataMashup"/>
  </ds:schemaRefs>
</ds:datastoreItem>
</file>

<file path=customXml/itemProps2.xml><?xml version="1.0" encoding="utf-8"?>
<ds:datastoreItem xmlns:ds="http://schemas.openxmlformats.org/officeDocument/2006/customXml" ds:itemID="{A6E18D48-D49A-452B-A4DA-8D56E5BBE8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c60461-25ce-4eb9-9cab-7f7092488520"/>
    <ds:schemaRef ds:uri="6b16e606-b534-4731-97fc-80d7caba92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6FBCE2-40A2-47B1-904D-6C7E8A99BFD6}">
  <ds:schemaRefs>
    <ds:schemaRef ds:uri="http://schemas.microsoft.com/office/2006/metadata/properties"/>
    <ds:schemaRef ds:uri="http://schemas.microsoft.com/office/infopath/2007/PartnerControls"/>
    <ds:schemaRef ds:uri="6b16e606-b534-4731-97fc-80d7caba92cb"/>
    <ds:schemaRef ds:uri="69c60461-25ce-4eb9-9cab-7f7092488520"/>
  </ds:schemaRefs>
</ds:datastoreItem>
</file>

<file path=customXml/itemProps4.xml><?xml version="1.0" encoding="utf-8"?>
<ds:datastoreItem xmlns:ds="http://schemas.openxmlformats.org/officeDocument/2006/customXml" ds:itemID="{275ED098-36AF-49AE-9846-A4988FDEE8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Intro</vt:lpstr>
      <vt:lpstr>Price Data</vt:lpstr>
      <vt:lpstr>Calculations &amp; Assumptions</vt:lpstr>
      <vt:lpstr>Results</vt:lpstr>
      <vt:lpstr>System Configurations</vt:lpstr>
      <vt:lpstr>Systems</vt:lpstr>
      <vt:lpstr>Sheet1</vt:lpstr>
      <vt:lpstr>Lists</vt:lpstr>
      <vt:lpstr>CI</vt:lpstr>
      <vt:lpstr>CIS</vt:lpstr>
      <vt:lpstr>components</vt:lpstr>
      <vt:lpstr>Results!Estimation_Method</vt:lpstr>
      <vt:lpstr>Estimation_Method</vt:lpstr>
      <vt:lpstr>SHS</vt:lpstr>
      <vt:lpstr>SIPS</vt:lpstr>
      <vt:lpstr>SMG</vt:lpstr>
      <vt:lpstr>SSL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Felix Nitz</cp:lastModifiedBy>
  <cp:revision/>
  <dcterms:created xsi:type="dcterms:W3CDTF">2022-08-22T13:48:10Z</dcterms:created>
  <dcterms:modified xsi:type="dcterms:W3CDTF">2022-12-20T08:13:04Z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0x0101009EF06B06D17ADD45BC48B4C0B7D76816</vt:lpwstr>
  </property>
  <property fmtid="{D5CDD505-2E9C-101B-9397-08002B2CF9AE}" pid="3" name="MediaServiceImageTags">
    <vt:lpwstr/>
  </property>
</Properties>
</file>